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Town of Sullivan Clerk\Budget\2018 Budget\"/>
    </mc:Choice>
  </mc:AlternateContent>
  <bookViews>
    <workbookView xWindow="0" yWindow="0" windowWidth="20490" windowHeight="7755"/>
  </bookViews>
  <sheets>
    <sheet name="Revenues" sheetId="1" r:id="rId1"/>
    <sheet name="Expenditures" sheetId="2" r:id="rId2"/>
    <sheet name="Budget Summary" sheetId="4" r:id="rId3"/>
    <sheet name="Projects &amp; Equipment" sheetId="3" r:id="rId4"/>
    <sheet name="Revenues Public Version" sheetId="5" r:id="rId5"/>
    <sheet name="Expenditures Public Version" sheetId="6" r:id="rId6"/>
  </sheets>
  <calcPr calcId="162913" calcMode="autoNoTable"/>
  <fileRecoveryPr autoRecover="0"/>
</workbook>
</file>

<file path=xl/calcChain.xml><?xml version="1.0" encoding="utf-8"?>
<calcChain xmlns="http://schemas.openxmlformats.org/spreadsheetml/2006/main">
  <c r="E61" i="5" l="1"/>
  <c r="D10" i="1"/>
  <c r="H10" i="1"/>
  <c r="H90" i="2" l="1"/>
  <c r="E86" i="6"/>
  <c r="E83" i="6"/>
  <c r="E76" i="6"/>
  <c r="E56" i="6"/>
  <c r="E55" i="6"/>
  <c r="E57" i="6" s="1"/>
  <c r="E52" i="6"/>
  <c r="E38" i="6"/>
  <c r="E36" i="6"/>
  <c r="E35" i="6"/>
  <c r="E30" i="6"/>
  <c r="E22" i="6"/>
  <c r="E25" i="6" s="1"/>
  <c r="E12" i="6"/>
  <c r="E10" i="6"/>
  <c r="E7" i="6"/>
  <c r="E47" i="6" l="1"/>
  <c r="E19" i="6"/>
  <c r="E92" i="6" s="1"/>
  <c r="E67" i="6"/>
  <c r="E68" i="6" s="1"/>
  <c r="H12" i="2"/>
  <c r="H10" i="2"/>
  <c r="H86" i="2" l="1"/>
  <c r="B25" i="4" l="1"/>
  <c r="B27" i="4" s="1"/>
  <c r="A2" i="4" l="1"/>
  <c r="A1" i="4"/>
  <c r="C3" i="6" l="1"/>
  <c r="D3" i="6" s="1"/>
  <c r="E3" i="6" s="1"/>
  <c r="F88" i="2"/>
  <c r="B1" i="6"/>
  <c r="C4" i="5"/>
  <c r="B1" i="5"/>
  <c r="D4" i="5" l="1"/>
  <c r="B6" i="4" l="1"/>
  <c r="E43" i="4"/>
  <c r="D43" i="4"/>
  <c r="C43" i="4"/>
  <c r="C35" i="4"/>
  <c r="D35" i="4" s="1"/>
  <c r="E35" i="4" s="1"/>
  <c r="A11" i="4"/>
  <c r="A4" i="4" l="1"/>
  <c r="H9" i="1"/>
  <c r="H35" i="2" l="1"/>
  <c r="H22" i="2" l="1"/>
  <c r="H38" i="2" l="1"/>
  <c r="D43" i="2"/>
  <c r="D46" i="2"/>
  <c r="E62" i="2" l="1"/>
  <c r="H51" i="1" l="1"/>
  <c r="F75" i="2" l="1"/>
  <c r="H56" i="2" l="1"/>
  <c r="H55" i="2"/>
  <c r="F10" i="1" l="1"/>
  <c r="E67" i="2"/>
  <c r="F67" i="2"/>
  <c r="E35" i="2"/>
  <c r="E36" i="2"/>
  <c r="E33" i="2" l="1"/>
  <c r="E16" i="1" l="1"/>
  <c r="F81" i="2"/>
  <c r="E22" i="2"/>
  <c r="E12" i="2"/>
  <c r="E10" i="2"/>
  <c r="E7" i="2"/>
  <c r="E17" i="1"/>
  <c r="E6" i="1"/>
  <c r="C57" i="2" l="1"/>
  <c r="E8" i="2" l="1"/>
  <c r="H36" i="2" l="1"/>
  <c r="H76" i="2" l="1"/>
  <c r="H57" i="2" l="1"/>
  <c r="E7" i="3" l="1"/>
  <c r="E56" i="2" l="1"/>
  <c r="E55" i="2"/>
  <c r="F7" i="2"/>
  <c r="E20" i="3" l="1"/>
  <c r="F23" i="2" l="1"/>
  <c r="E28" i="1"/>
  <c r="E63" i="2"/>
  <c r="E61" i="2"/>
  <c r="E60" i="2"/>
  <c r="F56" i="2"/>
  <c r="F55" i="2"/>
  <c r="E45" i="2"/>
  <c r="E44" i="2"/>
  <c r="E40" i="2"/>
  <c r="E39" i="2"/>
  <c r="E34" i="2"/>
  <c r="E16" i="2"/>
  <c r="E15" i="2"/>
  <c r="E14" i="2"/>
  <c r="E13" i="2"/>
  <c r="E11" i="2"/>
  <c r="E42" i="1"/>
  <c r="E41" i="1"/>
  <c r="E40" i="1"/>
  <c r="F8" i="1"/>
  <c r="F7" i="1"/>
  <c r="D90" i="2" l="1"/>
  <c r="D83" i="2"/>
  <c r="D76" i="2"/>
  <c r="D68" i="2"/>
  <c r="D57" i="2"/>
  <c r="D52" i="2"/>
  <c r="D47" i="2"/>
  <c r="D30" i="2"/>
  <c r="D25" i="2"/>
  <c r="D19" i="2"/>
  <c r="D44" i="1"/>
  <c r="D36" i="1"/>
  <c r="D29" i="1"/>
  <c r="D20" i="1"/>
  <c r="D11" i="1"/>
  <c r="C20" i="1"/>
  <c r="C11" i="1"/>
  <c r="C44" i="1"/>
  <c r="C36" i="1"/>
  <c r="C29" i="1"/>
  <c r="C90" i="2"/>
  <c r="C83" i="2"/>
  <c r="C76" i="2"/>
  <c r="C68" i="2"/>
  <c r="C52" i="2"/>
  <c r="C47" i="2"/>
  <c r="C30" i="2"/>
  <c r="C25" i="2"/>
  <c r="C19" i="2"/>
  <c r="D92" i="2" l="1"/>
  <c r="C92" i="2"/>
  <c r="D58" i="1"/>
  <c r="F53" i="1" l="1"/>
  <c r="F65" i="2" l="1"/>
  <c r="H7" i="2" l="1"/>
  <c r="H83" i="2" l="1"/>
  <c r="F33" i="1" l="1"/>
  <c r="D20" i="3"/>
  <c r="D7" i="3"/>
  <c r="F28" i="2"/>
  <c r="F24" i="2" l="1"/>
  <c r="F90" i="2"/>
  <c r="F42" i="1" l="1"/>
  <c r="F41" i="1"/>
  <c r="A1" i="2"/>
  <c r="F52" i="1"/>
  <c r="F51" i="1"/>
  <c r="F50" i="1"/>
  <c r="F49" i="1"/>
  <c r="F40" i="1"/>
  <c r="F35" i="1"/>
  <c r="F34" i="1"/>
  <c r="F32" i="1"/>
  <c r="F27" i="1"/>
  <c r="F26" i="1"/>
  <c r="F25" i="1"/>
  <c r="F24" i="1"/>
  <c r="F23" i="1"/>
  <c r="F19" i="1"/>
  <c r="F18" i="1"/>
  <c r="F15" i="1"/>
  <c r="F16" i="1"/>
  <c r="F17" i="1"/>
  <c r="F14" i="1"/>
  <c r="F55" i="1" l="1"/>
  <c r="F36" i="1"/>
  <c r="F20" i="1"/>
  <c r="F12" i="2"/>
  <c r="F10" i="2"/>
  <c r="F22" i="2"/>
  <c r="F17" i="2"/>
  <c r="F16" i="2"/>
  <c r="F15" i="2"/>
  <c r="F72" i="2"/>
  <c r="F66" i="2"/>
  <c r="F51" i="2"/>
  <c r="F46" i="2"/>
  <c r="F41" i="2"/>
  <c r="F38" i="2"/>
  <c r="F37" i="2"/>
  <c r="F18" i="2"/>
  <c r="F71" i="2"/>
  <c r="F64" i="2"/>
  <c r="F63" i="2"/>
  <c r="F62" i="2"/>
  <c r="F61" i="2"/>
  <c r="F50" i="2"/>
  <c r="F45" i="2"/>
  <c r="F44" i="2"/>
  <c r="F43" i="2"/>
  <c r="F42" i="2"/>
  <c r="F40" i="2"/>
  <c r="F39" i="2"/>
  <c r="F36" i="2"/>
  <c r="F35" i="2"/>
  <c r="F34" i="2"/>
  <c r="F8" i="2"/>
  <c r="F9" i="2"/>
  <c r="F11" i="2"/>
  <c r="F13" i="2"/>
  <c r="F14" i="2"/>
  <c r="H20" i="1" l="1"/>
  <c r="H29" i="1"/>
  <c r="H36" i="1"/>
  <c r="H44" i="1"/>
  <c r="H55" i="1"/>
  <c r="H59" i="1" l="1"/>
  <c r="B13" i="4" s="1"/>
  <c r="F74" i="2" l="1"/>
  <c r="F73" i="2"/>
  <c r="F76" i="2" s="1"/>
  <c r="F28" i="1"/>
  <c r="F29" i="1" s="1"/>
  <c r="H47" i="2"/>
  <c r="B1" i="2"/>
  <c r="H67" i="2"/>
  <c r="H68" i="2" s="1"/>
  <c r="F89" i="2"/>
  <c r="F82" i="2"/>
  <c r="F80" i="2"/>
  <c r="D3" i="1"/>
  <c r="E3" i="1" s="1"/>
  <c r="F3" i="1" s="1"/>
  <c r="G3" i="1" s="1"/>
  <c r="D3" i="2"/>
  <c r="E3" i="2" s="1"/>
  <c r="F3" i="2" s="1"/>
  <c r="G3" i="2" s="1"/>
  <c r="H3" i="2" s="1"/>
  <c r="H52" i="2"/>
  <c r="F60" i="2"/>
  <c r="F68" i="2" s="1"/>
  <c r="F33" i="2"/>
  <c r="F47" i="2" s="1"/>
  <c r="F30" i="2"/>
  <c r="F25" i="2"/>
  <c r="F79" i="2"/>
  <c r="H19" i="2"/>
  <c r="H25" i="2"/>
  <c r="H30" i="2"/>
  <c r="F57" i="2"/>
  <c r="F52" i="2"/>
  <c r="H3" i="1" l="1"/>
  <c r="F83" i="2"/>
  <c r="F43" i="1"/>
  <c r="F44" i="1" s="1"/>
  <c r="H92" i="2"/>
  <c r="B15" i="4" s="1"/>
  <c r="E92" i="2"/>
  <c r="B32" i="4" l="1"/>
  <c r="F19" i="2"/>
  <c r="C32" i="4" l="1"/>
  <c r="F92" i="2"/>
  <c r="D32" i="4" l="1"/>
  <c r="C58" i="1"/>
  <c r="F6" i="1"/>
  <c r="F11" i="1" s="1"/>
  <c r="H6" i="1"/>
  <c r="H11" i="1" l="1"/>
  <c r="H58" i="1" s="1"/>
  <c r="H63" i="1" s="1"/>
  <c r="H65" i="1" s="1"/>
  <c r="B7" i="4"/>
  <c r="E32" i="4"/>
  <c r="F58" i="1"/>
  <c r="B8" i="4" l="1"/>
  <c r="B12" i="4"/>
  <c r="F65" i="1"/>
  <c r="F63" i="1"/>
  <c r="E5" i="4" l="1"/>
  <c r="E6" i="4" s="1"/>
  <c r="E7" i="4" s="1"/>
  <c r="B14" i="4"/>
  <c r="B16" i="4" s="1"/>
  <c r="B26" i="4"/>
  <c r="B31" i="4"/>
  <c r="D25" i="4"/>
  <c r="E25" i="4" s="1"/>
  <c r="B28" i="4"/>
  <c r="C27" i="4" l="1"/>
  <c r="D31" i="4" s="1"/>
  <c r="D33" i="4" s="1"/>
  <c r="D34" i="4" s="1"/>
  <c r="D36" i="4" s="1"/>
  <c r="D27" i="4"/>
  <c r="D28" i="4"/>
  <c r="C28" i="4"/>
  <c r="E31" i="4" s="1"/>
  <c r="E33" i="4" s="1"/>
  <c r="E34" i="4" s="1"/>
  <c r="E36" i="4" s="1"/>
  <c r="D26" i="4"/>
  <c r="C26" i="4"/>
  <c r="F25" i="4"/>
  <c r="C31" i="4"/>
  <c r="C33" i="4" s="1"/>
  <c r="C34" i="4" s="1"/>
  <c r="C36" i="4" s="1"/>
  <c r="B33" i="4"/>
  <c r="B34" i="4" s="1"/>
  <c r="B36" i="4" s="1"/>
  <c r="E28" i="4" l="1"/>
  <c r="F28" i="4"/>
  <c r="E27" i="4"/>
  <c r="F27" i="4"/>
  <c r="F26" i="4"/>
  <c r="E26" i="4"/>
</calcChain>
</file>

<file path=xl/sharedStrings.xml><?xml version="1.0" encoding="utf-8"?>
<sst xmlns="http://schemas.openxmlformats.org/spreadsheetml/2006/main" count="381" uniqueCount="228">
  <si>
    <t>Town of Sullivan - Revenues</t>
  </si>
  <si>
    <t>Acct.#</t>
  </si>
  <si>
    <t>Name</t>
  </si>
  <si>
    <t>TAXES:</t>
  </si>
  <si>
    <t>Town Tax</t>
  </si>
  <si>
    <t>Managed Forest</t>
  </si>
  <si>
    <t>Omitted Taxes</t>
  </si>
  <si>
    <t>Mobile Home Fees</t>
  </si>
  <si>
    <t>Lottery Credit</t>
  </si>
  <si>
    <t>INTERGOVERNMENTAL REVENUES:</t>
  </si>
  <si>
    <t>Fire Insurance Dues</t>
  </si>
  <si>
    <t>State Shared Revenue</t>
  </si>
  <si>
    <t>State Highway Aid</t>
  </si>
  <si>
    <t>Jeff. Co. Road Petition</t>
  </si>
  <si>
    <t>State Aid in Lieu Taxes DNR</t>
  </si>
  <si>
    <t>LICENSES-FEES-CITATIONS:</t>
  </si>
  <si>
    <t>Beer &amp; Liquor Licenses</t>
  </si>
  <si>
    <t>Licenses Publication Fees</t>
  </si>
  <si>
    <t>Operator License</t>
  </si>
  <si>
    <t>Occupational License</t>
  </si>
  <si>
    <t>Dog Licenses, Fees, Citations</t>
  </si>
  <si>
    <r>
      <t xml:space="preserve">          </t>
    </r>
    <r>
      <rPr>
        <b/>
        <sz val="10"/>
        <rFont val="Arial"/>
        <family val="2"/>
      </rPr>
      <t>TOTAL LICENSES-FEES-CIT:</t>
    </r>
  </si>
  <si>
    <t>PUBLIC CHARGES FOR SERVICES:</t>
  </si>
  <si>
    <t>Highway Material &amp; Supplies</t>
  </si>
  <si>
    <t>Weed Control</t>
  </si>
  <si>
    <t>Cemetery &amp; Perp. Care</t>
  </si>
  <si>
    <t>Cable Franchise Fees</t>
  </si>
  <si>
    <r>
      <t xml:space="preserve">            </t>
    </r>
    <r>
      <rPr>
        <b/>
        <sz val="10"/>
        <rFont val="Arial"/>
        <family val="2"/>
      </rPr>
      <t>TOTAL PUBLIC CHARGES</t>
    </r>
  </si>
  <si>
    <t>USE OF MONEY &amp; PROPERTY:</t>
  </si>
  <si>
    <t>Interest General Investments</t>
  </si>
  <si>
    <t>Interest Cemetery</t>
  </si>
  <si>
    <t>Dividend on Stocks</t>
  </si>
  <si>
    <t xml:space="preserve">          TOTAL USE OF MONEY  &amp; PROP</t>
  </si>
  <si>
    <t>MISCELLANEOUS:</t>
  </si>
  <si>
    <t>Recycling</t>
  </si>
  <si>
    <t>Sale of Town Property</t>
  </si>
  <si>
    <t xml:space="preserve">           TOTAL MISCELLANEOUS</t>
  </si>
  <si>
    <r>
      <t xml:space="preserve">          </t>
    </r>
    <r>
      <rPr>
        <b/>
        <sz val="10"/>
        <rFont val="Arial"/>
        <family val="2"/>
      </rPr>
      <t>TOTAL TAXES</t>
    </r>
  </si>
  <si>
    <r>
      <t xml:space="preserve">           </t>
    </r>
    <r>
      <rPr>
        <b/>
        <sz val="10"/>
        <rFont val="Arial"/>
        <family val="2"/>
      </rPr>
      <t>TOTAL INTERGOV. REV.:</t>
    </r>
  </si>
  <si>
    <t>Town of Sullivan - Expenses</t>
  </si>
  <si>
    <t>Acct. #</t>
  </si>
  <si>
    <t>GENERAL GOVERNMENT:</t>
  </si>
  <si>
    <t xml:space="preserve">                                Expenses</t>
  </si>
  <si>
    <t>Special Committee</t>
  </si>
  <si>
    <t>Assessor Contract Amount</t>
  </si>
  <si>
    <t>Assessor Expenses</t>
  </si>
  <si>
    <t>Legal</t>
  </si>
  <si>
    <t>Auditing/Accounting</t>
  </si>
  <si>
    <t>Elections</t>
  </si>
  <si>
    <t xml:space="preserve">            TOTAL GENERAL GOVERNMENT</t>
  </si>
  <si>
    <t>PUBLIC SAFETY:</t>
  </si>
  <si>
    <t>Ambulance</t>
  </si>
  <si>
    <t xml:space="preserve">              TOTAL PUBLIC SAFETY</t>
  </si>
  <si>
    <t>HEALTH &amp; HUMAN SERVICES:</t>
  </si>
  <si>
    <t>Animal Control</t>
  </si>
  <si>
    <t>Other</t>
  </si>
  <si>
    <t xml:space="preserve">               TOTAL HEALTH &amp; HUMAN SERV.</t>
  </si>
  <si>
    <t>PUBLIC WORKS;</t>
  </si>
  <si>
    <t>Highway Wages</t>
  </si>
  <si>
    <t xml:space="preserve">Highway Personnel Expense </t>
  </si>
  <si>
    <t>Highway Personnel Health Insurance</t>
  </si>
  <si>
    <t>Highway Personnel Pension</t>
  </si>
  <si>
    <t>Roads - Maintenance</t>
  </si>
  <si>
    <t>Roads - Supplies</t>
  </si>
  <si>
    <t>Roads - Gas &amp; Oil</t>
  </si>
  <si>
    <t>Roads - Salt &amp; Sand</t>
  </si>
  <si>
    <t>Roads - Gravel</t>
  </si>
  <si>
    <t>Shop Utilities</t>
  </si>
  <si>
    <t>Street Lighting</t>
  </si>
  <si>
    <t>Equipment Purchase/Lease</t>
  </si>
  <si>
    <t xml:space="preserve">              TOTAL PUBLIC WORKS</t>
  </si>
  <si>
    <t>CULTURE, RECREATION &amp; EDUCATION:</t>
  </si>
  <si>
    <t>Ballpark &amp; Parks</t>
  </si>
  <si>
    <t>Donations</t>
  </si>
  <si>
    <t xml:space="preserve">             TOTAL CULTURE, REC &amp; ED</t>
  </si>
  <si>
    <t>OTHER:</t>
  </si>
  <si>
    <t>Garbage Pickup</t>
  </si>
  <si>
    <r>
      <t xml:space="preserve">            </t>
    </r>
    <r>
      <rPr>
        <b/>
        <sz val="10"/>
        <rFont val="Arial"/>
        <family val="2"/>
      </rPr>
      <t>TOTAL OTHER</t>
    </r>
  </si>
  <si>
    <t>GENERAL:</t>
  </si>
  <si>
    <t>Building Utilities</t>
  </si>
  <si>
    <t>Building Supplies</t>
  </si>
  <si>
    <t>Building Repairs &amp; Maintenance</t>
  </si>
  <si>
    <t>Telephone</t>
  </si>
  <si>
    <t>Cemetery</t>
  </si>
  <si>
    <t>Insurance - Property &amp; Liability</t>
  </si>
  <si>
    <t>Insurance - Workmans Comp</t>
  </si>
  <si>
    <t>Social Security</t>
  </si>
  <si>
    <t xml:space="preserve">          TOTAL GENERAL</t>
  </si>
  <si>
    <t>DEBT SERVICE;</t>
  </si>
  <si>
    <t>Fire House</t>
  </si>
  <si>
    <t xml:space="preserve">          TOTAL DEBT SERVICE</t>
  </si>
  <si>
    <t>CAPITAL PROJECTS:</t>
  </si>
  <si>
    <t>Engineering</t>
  </si>
  <si>
    <t xml:space="preserve">           TOTAL CAPITAL PROJECTS</t>
  </si>
  <si>
    <t xml:space="preserve">           TOTAL RESOURCES EXPENDED</t>
  </si>
  <si>
    <t>Rome Pond/Old Mill</t>
  </si>
  <si>
    <t>Town Hall &amp; Fire House Rental Income</t>
  </si>
  <si>
    <t>SUB TOTAL REVENUES</t>
  </si>
  <si>
    <t>FROM DESIGNATED CAPITAL EXPEND ACCT</t>
  </si>
  <si>
    <t>Actual</t>
  </si>
  <si>
    <t>9 Mo</t>
  </si>
  <si>
    <t>Oct.Nov.Dec</t>
  </si>
  <si>
    <t>Budget</t>
  </si>
  <si>
    <t xml:space="preserve"> </t>
  </si>
  <si>
    <t xml:space="preserve">Est. </t>
  </si>
  <si>
    <t>Other State Aids</t>
  </si>
  <si>
    <t>Wages</t>
  </si>
  <si>
    <t xml:space="preserve">Total Contimgency and Other </t>
  </si>
  <si>
    <t>7.65% of Salaries</t>
  </si>
  <si>
    <t>Cash Needed to Balance Budget</t>
  </si>
  <si>
    <t xml:space="preserve">  TOTAL REVENUES </t>
  </si>
  <si>
    <t>Est</t>
  </si>
  <si>
    <t>Net (G/L)</t>
  </si>
  <si>
    <t>Subtotal Revenues without Tax Levy</t>
  </si>
  <si>
    <t>Town Of Sullivan</t>
  </si>
  <si>
    <t>Potential Projects and Equipment needs</t>
  </si>
  <si>
    <t>Projects:</t>
  </si>
  <si>
    <t>Comm Center Heating</t>
  </si>
  <si>
    <t>Total</t>
  </si>
  <si>
    <t>Equipment:</t>
  </si>
  <si>
    <t>EMS District Fees</t>
  </si>
  <si>
    <t>Hypertherm Power Max 45 Plasma Cutter</t>
  </si>
  <si>
    <t>Priority</t>
  </si>
  <si>
    <t xml:space="preserve">Fire Protection </t>
  </si>
  <si>
    <t>Reserve for Contingincies</t>
  </si>
  <si>
    <t>% Tax Levy</t>
  </si>
  <si>
    <t>Increase</t>
  </si>
  <si>
    <t>Skid :Loader</t>
  </si>
  <si>
    <t>Mill Lease</t>
  </si>
  <si>
    <t>Road Snow &amp; Ice Removal</t>
  </si>
  <si>
    <t>Not include Village payment</t>
  </si>
  <si>
    <t>Firehouse Garage</t>
  </si>
  <si>
    <t>Prairie Ridge Subdivsion (Lot Sales)</t>
  </si>
  <si>
    <t>Village of Sullivan: Sect 1,2 &amp; 12</t>
  </si>
  <si>
    <t>Grapple bucket for Skid Loader</t>
  </si>
  <si>
    <t>Replace Ford 550</t>
  </si>
  <si>
    <t>Broom for Skid Loader</t>
  </si>
  <si>
    <t>Tree  shear for Skid Loader</t>
  </si>
  <si>
    <t>Pre-wet for Plow trucuks</t>
  </si>
  <si>
    <t>Replace Truck 4  2005 Int</t>
  </si>
  <si>
    <t>Projects</t>
  </si>
  <si>
    <t>Trust Fund Loans</t>
  </si>
  <si>
    <t>6.6% Contribution</t>
  </si>
  <si>
    <t>Pierce Fire Truck</t>
  </si>
  <si>
    <t>Mack Plow Truck</t>
  </si>
  <si>
    <t>Based on 805 Househlds</t>
  </si>
  <si>
    <t>Roads - Equipment Repair/Maint</t>
  </si>
  <si>
    <t>Clerk                     Salary &amp; Per Diem</t>
  </si>
  <si>
    <t>Board &amp; Chairman  Salary &amp; Per Diem</t>
  </si>
  <si>
    <t>Treasurer               Salary &amp; Per Diem</t>
  </si>
  <si>
    <t>Other Revenues +TRIP</t>
  </si>
  <si>
    <t>OTHER</t>
  </si>
  <si>
    <t>Pal/Eagle SD - Parking Fees/Lottery</t>
  </si>
  <si>
    <t>Town of Sullivan - Budget Summmary</t>
  </si>
  <si>
    <t>Budget Summary</t>
  </si>
  <si>
    <t>Revenue Limit</t>
  </si>
  <si>
    <t>Assessed Value</t>
  </si>
  <si>
    <t>2016 Tax levy</t>
  </si>
  <si>
    <t>Proposed Tax Levy  Increase(%)</t>
  </si>
  <si>
    <t>Exceed by</t>
  </si>
  <si>
    <t>Tax levy  with Proposed Increase</t>
  </si>
  <si>
    <t xml:space="preserve">% </t>
  </si>
  <si>
    <t>Mill Rate at proposed Increase</t>
  </si>
  <si>
    <t>Previous year Mill rate</t>
  </si>
  <si>
    <t>Tax Revenue</t>
  </si>
  <si>
    <t>Revenues  - Other</t>
  </si>
  <si>
    <t>Revenue - Total</t>
  </si>
  <si>
    <t>Expense</t>
  </si>
  <si>
    <t>Cash Needed to Balance</t>
  </si>
  <si>
    <t>I</t>
  </si>
  <si>
    <t>Reduce Expenses by Amount?</t>
  </si>
  <si>
    <t>See Options below</t>
  </si>
  <si>
    <t>II</t>
  </si>
  <si>
    <t>Increase Tax Levy</t>
  </si>
  <si>
    <t>See Options Below</t>
  </si>
  <si>
    <t>III</t>
  </si>
  <si>
    <t>Use Fund Balance</t>
  </si>
  <si>
    <t>IV</t>
  </si>
  <si>
    <t>Use a combination of all three</t>
  </si>
  <si>
    <t>Tax Levy</t>
  </si>
  <si>
    <t>Effective</t>
  </si>
  <si>
    <t>Amount</t>
  </si>
  <si>
    <t>$ Increase</t>
  </si>
  <si>
    <t xml:space="preserve">Mill Rate </t>
  </si>
  <si>
    <t>Tax Levy Increase</t>
  </si>
  <si>
    <t>Above Base</t>
  </si>
  <si>
    <t>Mill Rate</t>
  </si>
  <si>
    <t>Per $100K</t>
  </si>
  <si>
    <t>Change</t>
  </si>
  <si>
    <t xml:space="preserve">  0% Increase</t>
  </si>
  <si>
    <t xml:space="preserve">  1.0% Increase</t>
  </si>
  <si>
    <t xml:space="preserve">  3.% Increase</t>
  </si>
  <si>
    <t>0% Increase</t>
  </si>
  <si>
    <t>1.0% Increase</t>
  </si>
  <si>
    <t>2.6% Increase</t>
  </si>
  <si>
    <t>3.% Increase</t>
  </si>
  <si>
    <t>Revenues</t>
  </si>
  <si>
    <t>Revenues - Expenses</t>
  </si>
  <si>
    <t>Cash Req to Balance</t>
  </si>
  <si>
    <t>Net Cash Needed*</t>
  </si>
  <si>
    <t>Reduction Options to Balance Budget</t>
  </si>
  <si>
    <t>Reduce Building Maint</t>
  </si>
  <si>
    <t>Reduce Equipment purchase</t>
  </si>
  <si>
    <t>Reduce Jeff Co Road Petetion</t>
  </si>
  <si>
    <t>Reduce Roads Budget</t>
  </si>
  <si>
    <t>Total reductions</t>
  </si>
  <si>
    <t xml:space="preserve"> Carryover</t>
  </si>
  <si>
    <t xml:space="preserve">          TOTAL TAXES</t>
  </si>
  <si>
    <t xml:space="preserve">           TOTAL INTERGOV. REV.:</t>
  </si>
  <si>
    <t xml:space="preserve">          TOTAL LICENSES-FEES-CIT:</t>
  </si>
  <si>
    <t xml:space="preserve">            TOTAL PUBLIC CHARGES</t>
  </si>
  <si>
    <t>Prairie Ridge Subdivsion</t>
  </si>
  <si>
    <t>Other Revenues</t>
  </si>
  <si>
    <t>Trust Fund Loans (Plow Truck &amp; Mower)</t>
  </si>
  <si>
    <t>Board &amp; Chairman     Salary &amp; Per Diem</t>
  </si>
  <si>
    <t>Clerk                        Salary &amp; Per Diem</t>
  </si>
  <si>
    <t>Treasurer                   Salary &amp; Per Diem</t>
  </si>
  <si>
    <t>Vilage of Sullian Sect 1,2 &amp;12</t>
  </si>
  <si>
    <t>Roads - Equipment Repair/Maintenance</t>
  </si>
  <si>
    <t xml:space="preserve">            TOTAL OTHER</t>
  </si>
  <si>
    <t>Fire Truck</t>
  </si>
  <si>
    <t xml:space="preserve">  2.0% Increase</t>
  </si>
  <si>
    <t>Town of Sullivan Budget</t>
  </si>
  <si>
    <t>Expenses</t>
  </si>
  <si>
    <t>TOTAL REVENUE FROM OPERATIONS</t>
  </si>
  <si>
    <t>REVENUE TOTAL</t>
  </si>
  <si>
    <t>FUND BALANCE</t>
  </si>
  <si>
    <t>Board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</si>
</sst>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0.000%"/>
    <numFmt numFmtId="167" formatCode="&quot;$&quot;#,##0.00"/>
    <numFmt numFmtId="168" formatCode="0.000000000"/>
    <numFmt numFmtId="169" formatCode="&quot;$&quot;#,##0.0"/>
    <numFmt numFmtId="170" formatCode="&quot;$&quot;#,##0.000000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rgb="FF00610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0070C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gray0625">
        <bgColor theme="7" tint="0.3999755851924192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2065187536243"/>
        <bgColor theme="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5" borderId="0" applyNumberFormat="0" applyBorder="0" applyAlignment="0" applyProtection="0"/>
  </cellStyleXfs>
  <cellXfs count="195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5" fillId="0" borderId="0" xfId="0" applyFont="1"/>
    <xf numFmtId="165" fontId="0" fillId="0" borderId="0" xfId="1" applyNumberFormat="1" applyFont="1"/>
    <xf numFmtId="165" fontId="1" fillId="0" borderId="0" xfId="1" applyNumberFormat="1" applyFont="1"/>
    <xf numFmtId="165" fontId="2" fillId="0" borderId="0" xfId="1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3" fillId="10" borderId="0" xfId="0" applyFont="1" applyFill="1"/>
    <xf numFmtId="0" fontId="6" fillId="10" borderId="0" xfId="0" applyFont="1" applyFill="1"/>
    <xf numFmtId="0" fontId="7" fillId="0" borderId="0" xfId="0" applyFont="1" applyFill="1"/>
    <xf numFmtId="0" fontId="6" fillId="0" borderId="0" xfId="2" applyFont="1" applyFill="1"/>
    <xf numFmtId="0" fontId="6" fillId="0" borderId="0" xfId="0" applyFont="1"/>
    <xf numFmtId="0" fontId="8" fillId="0" borderId="0" xfId="0" applyFont="1" applyFill="1"/>
    <xf numFmtId="0" fontId="8" fillId="0" borderId="0" xfId="0" applyFont="1" applyFill="1" applyProtection="1">
      <protection locked="0"/>
    </xf>
    <xf numFmtId="0" fontId="7" fillId="0" borderId="0" xfId="0" applyFont="1"/>
    <xf numFmtId="0" fontId="9" fillId="0" borderId="0" xfId="0" applyFont="1"/>
    <xf numFmtId="0" fontId="9" fillId="0" borderId="0" xfId="0" applyFont="1" applyFill="1"/>
    <xf numFmtId="0" fontId="10" fillId="0" borderId="0" xfId="2" applyFont="1" applyFill="1"/>
    <xf numFmtId="0" fontId="7" fillId="0" borderId="0" xfId="0" applyFont="1" applyFill="1" applyProtection="1">
      <protection locked="0"/>
    </xf>
    <xf numFmtId="0" fontId="7" fillId="7" borderId="0" xfId="0" applyFont="1" applyFill="1" applyAlignment="1">
      <alignment horizontal="center"/>
    </xf>
    <xf numFmtId="0" fontId="11" fillId="0" borderId="0" xfId="2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  <xf numFmtId="0" fontId="7" fillId="13" borderId="0" xfId="0" applyFont="1" applyFill="1" applyAlignment="1" applyProtection="1">
      <alignment horizontal="center"/>
      <protection locked="0"/>
    </xf>
    <xf numFmtId="0" fontId="7" fillId="6" borderId="0" xfId="0" applyFont="1" applyFill="1" applyAlignment="1">
      <alignment horizontal="center"/>
    </xf>
    <xf numFmtId="0" fontId="7" fillId="7" borderId="0" xfId="0" applyFont="1" applyFill="1"/>
    <xf numFmtId="0" fontId="11" fillId="0" borderId="0" xfId="2" applyFont="1" applyFill="1"/>
    <xf numFmtId="0" fontId="7" fillId="4" borderId="0" xfId="0" applyFont="1" applyFill="1"/>
    <xf numFmtId="0" fontId="7" fillId="13" borderId="0" xfId="0" applyFont="1" applyFill="1" applyProtection="1">
      <protection locked="0"/>
    </xf>
    <xf numFmtId="0" fontId="7" fillId="6" borderId="0" xfId="0" applyFont="1" applyFill="1"/>
    <xf numFmtId="0" fontId="12" fillId="0" borderId="0" xfId="0" applyFont="1"/>
    <xf numFmtId="164" fontId="9" fillId="7" borderId="0" xfId="1" applyNumberFormat="1" applyFont="1" applyFill="1"/>
    <xf numFmtId="164" fontId="11" fillId="0" borderId="0" xfId="2" applyNumberFormat="1" applyFont="1" applyFill="1"/>
    <xf numFmtId="167" fontId="9" fillId="0" borderId="0" xfId="1" applyNumberFormat="1" applyFont="1"/>
    <xf numFmtId="164" fontId="9" fillId="4" borderId="0" xfId="1" applyNumberFormat="1" applyFont="1" applyFill="1"/>
    <xf numFmtId="164" fontId="9" fillId="13" borderId="0" xfId="1" applyNumberFormat="1" applyFont="1" applyFill="1" applyProtection="1"/>
    <xf numFmtId="164" fontId="9" fillId="11" borderId="0" xfId="1" applyNumberFormat="1" applyFont="1" applyFill="1"/>
    <xf numFmtId="164" fontId="9" fillId="6" borderId="0" xfId="1" applyNumberFormat="1" applyFont="1" applyFill="1"/>
    <xf numFmtId="164" fontId="9" fillId="8" borderId="0" xfId="1" applyNumberFormat="1" applyFont="1" applyFill="1"/>
    <xf numFmtId="164" fontId="9" fillId="0" borderId="0" xfId="1" applyNumberFormat="1" applyFont="1"/>
    <xf numFmtId="0" fontId="12" fillId="2" borderId="0" xfId="0" applyFont="1" applyFill="1"/>
    <xf numFmtId="164" fontId="9" fillId="0" borderId="0" xfId="1" applyNumberFormat="1" applyFont="1" applyFill="1"/>
    <xf numFmtId="164" fontId="9" fillId="2" borderId="0" xfId="1" applyNumberFormat="1" applyFont="1" applyFill="1"/>
    <xf numFmtId="164" fontId="7" fillId="0" borderId="0" xfId="0" applyNumberFormat="1" applyFont="1"/>
    <xf numFmtId="164" fontId="9" fillId="0" borderId="0" xfId="1" applyNumberFormat="1" applyFont="1" applyFill="1" applyProtection="1"/>
    <xf numFmtId="164" fontId="9" fillId="0" borderId="0" xfId="0" applyNumberFormat="1" applyFont="1"/>
    <xf numFmtId="164" fontId="7" fillId="13" borderId="0" xfId="0" applyNumberFormat="1" applyFont="1" applyFill="1" applyProtection="1"/>
    <xf numFmtId="164" fontId="7" fillId="6" borderId="0" xfId="0" applyNumberFormat="1" applyFont="1" applyFill="1"/>
    <xf numFmtId="10" fontId="9" fillId="0" borderId="0" xfId="0" applyNumberFormat="1" applyFont="1"/>
    <xf numFmtId="0" fontId="13" fillId="0" borderId="0" xfId="0" applyFont="1"/>
    <xf numFmtId="164" fontId="7" fillId="7" borderId="0" xfId="0" applyNumberFormat="1" applyFont="1" applyFill="1"/>
    <xf numFmtId="164" fontId="7" fillId="0" borderId="0" xfId="0" applyNumberFormat="1" applyFont="1" applyFill="1"/>
    <xf numFmtId="164" fontId="7" fillId="4" borderId="0" xfId="0" applyNumberFormat="1" applyFont="1" applyFill="1"/>
    <xf numFmtId="0" fontId="7" fillId="2" borderId="0" xfId="0" applyFont="1" applyFill="1"/>
    <xf numFmtId="9" fontId="9" fillId="0" borderId="0" xfId="0" applyNumberFormat="1" applyFont="1"/>
    <xf numFmtId="0" fontId="6" fillId="2" borderId="0" xfId="0" applyFont="1" applyFill="1"/>
    <xf numFmtId="164" fontId="7" fillId="2" borderId="0" xfId="0" applyNumberFormat="1" applyFont="1" applyFill="1"/>
    <xf numFmtId="164" fontId="7" fillId="15" borderId="0" xfId="1" applyNumberFormat="1" applyFont="1" applyFill="1"/>
    <xf numFmtId="164" fontId="7" fillId="6" borderId="0" xfId="1" applyNumberFormat="1" applyFont="1" applyFill="1"/>
    <xf numFmtId="164" fontId="9" fillId="13" borderId="0" xfId="1" applyNumberFormat="1" applyFont="1" applyFill="1"/>
    <xf numFmtId="0" fontId="12" fillId="2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3" borderId="0" xfId="0" applyFont="1" applyFill="1"/>
    <xf numFmtId="164" fontId="7" fillId="3" borderId="0" xfId="0" applyNumberFormat="1" applyFont="1" applyFill="1"/>
    <xf numFmtId="44" fontId="7" fillId="0" borderId="0" xfId="0" applyNumberFormat="1" applyFont="1" applyFill="1"/>
    <xf numFmtId="0" fontId="14" fillId="10" borderId="0" xfId="0" applyFont="1" applyFill="1"/>
    <xf numFmtId="0" fontId="15" fillId="0" borderId="0" xfId="0" applyFont="1"/>
    <xf numFmtId="0" fontId="14" fillId="0" borderId="0" xfId="0" applyFont="1" applyFill="1"/>
    <xf numFmtId="0" fontId="14" fillId="0" borderId="0" xfId="0" applyFont="1"/>
    <xf numFmtId="0" fontId="15" fillId="0" borderId="0" xfId="0" applyFont="1" applyFill="1"/>
    <xf numFmtId="0" fontId="16" fillId="0" borderId="0" xfId="0" applyFont="1"/>
    <xf numFmtId="0" fontId="17" fillId="0" borderId="0" xfId="0" applyFont="1"/>
    <xf numFmtId="0" fontId="17" fillId="7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4" borderId="0" xfId="0" applyFont="1" applyFill="1" applyAlignment="1">
      <alignment horizontal="center"/>
    </xf>
    <xf numFmtId="0" fontId="17" fillId="14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18" fillId="0" borderId="0" xfId="0" applyFont="1"/>
    <xf numFmtId="0" fontId="16" fillId="7" borderId="0" xfId="0" applyFont="1" applyFill="1"/>
    <xf numFmtId="0" fontId="16" fillId="0" borderId="0" xfId="0" applyFont="1" applyFill="1"/>
    <xf numFmtId="0" fontId="16" fillId="4" borderId="0" xfId="0" applyFont="1" applyFill="1"/>
    <xf numFmtId="0" fontId="16" fillId="14" borderId="0" xfId="0" applyFont="1" applyFill="1"/>
    <xf numFmtId="0" fontId="16" fillId="6" borderId="0" xfId="0" applyFont="1" applyFill="1"/>
    <xf numFmtId="164" fontId="17" fillId="7" borderId="0" xfId="1" applyNumberFormat="1" applyFont="1" applyFill="1"/>
    <xf numFmtId="164" fontId="17" fillId="0" borderId="0" xfId="1" applyNumberFormat="1" applyFont="1" applyFill="1"/>
    <xf numFmtId="164" fontId="17" fillId="9" borderId="0" xfId="1" applyNumberFormat="1" applyFont="1" applyFill="1"/>
    <xf numFmtId="164" fontId="17" fillId="4" borderId="0" xfId="1" applyNumberFormat="1" applyFont="1" applyFill="1"/>
    <xf numFmtId="164" fontId="17" fillId="14" borderId="0" xfId="1" applyNumberFormat="1" applyFont="1" applyFill="1"/>
    <xf numFmtId="164" fontId="17" fillId="6" borderId="0" xfId="1" applyNumberFormat="1" applyFont="1" applyFill="1"/>
    <xf numFmtId="164" fontId="17" fillId="8" borderId="0" xfId="1" applyNumberFormat="1" applyFont="1" applyFill="1"/>
    <xf numFmtId="0" fontId="17" fillId="2" borderId="0" xfId="0" applyFont="1" applyFill="1"/>
    <xf numFmtId="164" fontId="16" fillId="7" borderId="0" xfId="0" applyNumberFormat="1" applyFont="1" applyFill="1"/>
    <xf numFmtId="164" fontId="16" fillId="0" borderId="0" xfId="0" applyNumberFormat="1" applyFont="1" applyFill="1"/>
    <xf numFmtId="164" fontId="16" fillId="2" borderId="0" xfId="0" applyNumberFormat="1" applyFont="1" applyFill="1"/>
    <xf numFmtId="164" fontId="17" fillId="2" borderId="0" xfId="1" applyNumberFormat="1" applyFont="1" applyFill="1"/>
    <xf numFmtId="164" fontId="16" fillId="0" borderId="0" xfId="0" applyNumberFormat="1" applyFont="1"/>
    <xf numFmtId="164" fontId="17" fillId="0" borderId="0" xfId="1" applyNumberFormat="1" applyFont="1"/>
    <xf numFmtId="164" fontId="17" fillId="11" borderId="0" xfId="1" applyNumberFormat="1" applyFont="1" applyFill="1"/>
    <xf numFmtId="164" fontId="16" fillId="14" borderId="0" xfId="0" applyNumberFormat="1" applyFont="1" applyFill="1"/>
    <xf numFmtId="164" fontId="16" fillId="6" borderId="0" xfId="0" applyNumberFormat="1" applyFont="1" applyFill="1"/>
    <xf numFmtId="167" fontId="17" fillId="0" borderId="0" xfId="1" applyNumberFormat="1" applyFont="1"/>
    <xf numFmtId="0" fontId="16" fillId="2" borderId="0" xfId="0" applyFont="1" applyFill="1"/>
    <xf numFmtId="164" fontId="16" fillId="4" borderId="0" xfId="0" applyNumberFormat="1" applyFont="1" applyFill="1"/>
    <xf numFmtId="0" fontId="18" fillId="2" borderId="0" xfId="0" applyFont="1" applyFill="1"/>
    <xf numFmtId="0" fontId="18" fillId="3" borderId="0" xfId="0" applyFont="1" applyFill="1"/>
    <xf numFmtId="164" fontId="16" fillId="3" borderId="0" xfId="0" applyNumberFormat="1" applyFont="1" applyFill="1"/>
    <xf numFmtId="164" fontId="16" fillId="14" borderId="0" xfId="1" applyNumberFormat="1" applyFont="1" applyFill="1"/>
    <xf numFmtId="164" fontId="16" fillId="6" borderId="0" xfId="1" applyNumberFormat="1" applyFont="1" applyFill="1"/>
    <xf numFmtId="164" fontId="19" fillId="14" borderId="0" xfId="1" applyNumberFormat="1" applyFont="1" applyFill="1"/>
    <xf numFmtId="164" fontId="19" fillId="6" borderId="0" xfId="1" applyNumberFormat="1" applyFont="1" applyFill="1"/>
    <xf numFmtId="0" fontId="19" fillId="4" borderId="0" xfId="0" applyFont="1" applyFill="1"/>
    <xf numFmtId="0" fontId="19" fillId="14" borderId="0" xfId="0" applyFont="1" applyFill="1"/>
    <xf numFmtId="0" fontId="19" fillId="6" borderId="0" xfId="0" applyFont="1" applyFill="1"/>
    <xf numFmtId="0" fontId="18" fillId="12" borderId="0" xfId="0" applyFont="1" applyFill="1"/>
    <xf numFmtId="164" fontId="16" fillId="12" borderId="0" xfId="0" applyNumberFormat="1" applyFont="1" applyFill="1"/>
    <xf numFmtId="6" fontId="19" fillId="12" borderId="0" xfId="0" applyNumberFormat="1" applyFont="1" applyFill="1"/>
    <xf numFmtId="6" fontId="19" fillId="14" borderId="0" xfId="1" applyNumberFormat="1" applyFont="1" applyFill="1"/>
    <xf numFmtId="6" fontId="19" fillId="6" borderId="0" xfId="1" applyNumberFormat="1" applyFont="1" applyFill="1"/>
    <xf numFmtId="164" fontId="17" fillId="15" borderId="0" xfId="1" applyNumberFormat="1" applyFont="1" applyFill="1"/>
    <xf numFmtId="167" fontId="9" fillId="0" borderId="0" xfId="1" applyNumberFormat="1" applyFont="1" applyFill="1"/>
    <xf numFmtId="164" fontId="9" fillId="15" borderId="0" xfId="1" applyNumberFormat="1" applyFont="1" applyFill="1"/>
    <xf numFmtId="0" fontId="12" fillId="0" borderId="0" xfId="0" applyFont="1" applyFill="1"/>
    <xf numFmtId="0" fontId="2" fillId="0" borderId="0" xfId="0" applyFont="1" applyFill="1"/>
    <xf numFmtId="0" fontId="5" fillId="10" borderId="0" xfId="0" applyFont="1" applyFill="1"/>
    <xf numFmtId="165" fontId="20" fillId="0" borderId="0" xfId="1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5" fontId="0" fillId="0" borderId="0" xfId="1" applyNumberFormat="1" applyFont="1" applyFill="1"/>
    <xf numFmtId="0" fontId="1" fillId="0" borderId="0" xfId="0" applyFont="1" applyFill="1"/>
    <xf numFmtId="0" fontId="1" fillId="0" borderId="0" xfId="0" applyFont="1" applyAlignment="1">
      <alignment horizontal="right"/>
    </xf>
    <xf numFmtId="164" fontId="21" fillId="0" borderId="0" xfId="0" applyNumberFormat="1" applyFont="1"/>
    <xf numFmtId="10" fontId="21" fillId="0" borderId="0" xfId="1" applyNumberFormat="1" applyFont="1" applyFill="1"/>
    <xf numFmtId="164" fontId="19" fillId="0" borderId="0" xfId="0" applyNumberFormat="1" applyFont="1"/>
    <xf numFmtId="164" fontId="21" fillId="0" borderId="0" xfId="1" applyNumberFormat="1" applyFont="1"/>
    <xf numFmtId="10" fontId="19" fillId="0" borderId="0" xfId="0" applyNumberFormat="1" applyFont="1"/>
    <xf numFmtId="0" fontId="1" fillId="16" borderId="0" xfId="0" applyFont="1" applyFill="1"/>
    <xf numFmtId="168" fontId="19" fillId="16" borderId="0" xfId="1" applyNumberFormat="1" applyFont="1" applyFill="1"/>
    <xf numFmtId="0" fontId="1" fillId="17" borderId="0" xfId="0" applyFont="1" applyFill="1"/>
    <xf numFmtId="168" fontId="1" fillId="17" borderId="0" xfId="1" applyNumberFormat="1" applyFont="1" applyFill="1"/>
    <xf numFmtId="168" fontId="19" fillId="0" borderId="0" xfId="1" applyNumberFormat="1" applyFont="1"/>
    <xf numFmtId="0" fontId="2" fillId="0" borderId="0" xfId="0" applyFont="1" applyAlignment="1">
      <alignment horizontal="left"/>
    </xf>
    <xf numFmtId="6" fontId="21" fillId="0" borderId="0" xfId="1" applyNumberFormat="1" applyFont="1"/>
    <xf numFmtId="0" fontId="0" fillId="0" borderId="0" xfId="0" applyAlignment="1">
      <alignment horizontal="right"/>
    </xf>
    <xf numFmtId="6" fontId="0" fillId="0" borderId="0" xfId="1" applyNumberFormat="1" applyFont="1"/>
    <xf numFmtId="6" fontId="2" fillId="0" borderId="0" xfId="1" applyNumberFormat="1" applyFont="1"/>
    <xf numFmtId="165" fontId="1" fillId="0" borderId="0" xfId="1" applyNumberFormat="1" applyFont="1" applyFill="1"/>
    <xf numFmtId="0" fontId="0" fillId="0" borderId="0" xfId="0" applyFill="1"/>
    <xf numFmtId="164" fontId="1" fillId="0" borderId="0" xfId="0" applyNumberFormat="1" applyFont="1" applyFill="1"/>
    <xf numFmtId="44" fontId="1" fillId="0" borderId="0" xfId="1" applyNumberFormat="1" applyFont="1"/>
    <xf numFmtId="164" fontId="1" fillId="0" borderId="0" xfId="0" applyNumberFormat="1" applyFont="1"/>
    <xf numFmtId="0" fontId="2" fillId="18" borderId="0" xfId="0" applyFont="1" applyFill="1"/>
    <xf numFmtId="0" fontId="2" fillId="0" borderId="0" xfId="0" applyNumberFormat="1" applyFont="1" applyAlignment="1">
      <alignment horizontal="center"/>
    </xf>
    <xf numFmtId="164" fontId="21" fillId="0" borderId="0" xfId="1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170" fontId="19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10" fontId="22" fillId="18" borderId="0" xfId="0" applyNumberFormat="1" applyFont="1" applyFill="1"/>
    <xf numFmtId="164" fontId="1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0" fontId="0" fillId="18" borderId="0" xfId="0" applyNumberFormat="1" applyFill="1"/>
    <xf numFmtId="164" fontId="1" fillId="0" borderId="0" xfId="1" applyNumberFormat="1" applyFont="1"/>
    <xf numFmtId="0" fontId="1" fillId="0" borderId="0" xfId="0" applyNumberFormat="1" applyFont="1"/>
    <xf numFmtId="165" fontId="2" fillId="0" borderId="0" xfId="1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right"/>
    </xf>
    <xf numFmtId="6" fontId="21" fillId="0" borderId="0" xfId="1" applyNumberFormat="1" applyFont="1" applyFill="1" applyAlignment="1">
      <alignment horizontal="center"/>
    </xf>
    <xf numFmtId="6" fontId="0" fillId="0" borderId="0" xfId="1" applyNumberFormat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6" fontId="0" fillId="0" borderId="0" xfId="0" applyNumberFormat="1" applyAlignment="1">
      <alignment horizontal="center"/>
    </xf>
    <xf numFmtId="164" fontId="1" fillId="0" borderId="0" xfId="1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70" fontId="19" fillId="0" borderId="0" xfId="0" applyNumberFormat="1" applyFont="1" applyFill="1" applyAlignment="1">
      <alignment horizontal="center"/>
    </xf>
    <xf numFmtId="8" fontId="0" fillId="0" borderId="0" xfId="0" applyNumberFormat="1" applyFill="1" applyAlignment="1">
      <alignment horizontal="center"/>
    </xf>
    <xf numFmtId="10" fontId="0" fillId="0" borderId="0" xfId="0" applyNumberFormat="1" applyFill="1"/>
    <xf numFmtId="10" fontId="0" fillId="0" borderId="0" xfId="0" applyNumberFormat="1" applyAlignment="1">
      <alignment horizontal="center"/>
    </xf>
    <xf numFmtId="0" fontId="3" fillId="0" borderId="0" xfId="2" applyFont="1" applyFill="1"/>
    <xf numFmtId="0" fontId="3" fillId="0" borderId="0" xfId="0" applyFont="1"/>
    <xf numFmtId="0" fontId="0" fillId="0" borderId="0" xfId="0" applyAlignment="1"/>
    <xf numFmtId="166" fontId="16" fillId="20" borderId="0" xfId="0" applyNumberFormat="1" applyFont="1" applyFill="1" applyAlignment="1">
      <alignment horizontal="center"/>
    </xf>
    <xf numFmtId="164" fontId="0" fillId="0" borderId="0" xfId="0" applyNumberFormat="1" applyFill="1"/>
    <xf numFmtId="164" fontId="19" fillId="0" borderId="0" xfId="1" applyNumberFormat="1" applyFont="1" applyFill="1"/>
    <xf numFmtId="0" fontId="19" fillId="0" borderId="0" xfId="0" applyFont="1" applyFill="1"/>
    <xf numFmtId="6" fontId="19" fillId="0" borderId="0" xfId="1" applyNumberFormat="1" applyFont="1" applyFill="1"/>
    <xf numFmtId="164" fontId="1" fillId="0" borderId="0" xfId="0" applyNumberFormat="1" applyFont="1" applyFill="1" applyAlignment="1">
      <alignment horizontal="center"/>
    </xf>
    <xf numFmtId="164" fontId="17" fillId="0" borderId="0" xfId="1" applyNumberFormat="1" applyFont="1" applyFill="1" applyAlignment="1">
      <alignment horizontal="center"/>
    </xf>
    <xf numFmtId="164" fontId="16" fillId="0" borderId="0" xfId="0" applyNumberFormat="1" applyFont="1" applyFill="1" applyAlignment="1">
      <alignment horizontal="center"/>
    </xf>
    <xf numFmtId="164" fontId="1" fillId="0" borderId="0" xfId="1" applyNumberFormat="1" applyFont="1" applyFill="1"/>
    <xf numFmtId="164" fontId="16" fillId="0" borderId="0" xfId="1" applyNumberFormat="1" applyFont="1" applyFill="1" applyAlignment="1">
      <alignment horizontal="center"/>
    </xf>
    <xf numFmtId="6" fontId="19" fillId="0" borderId="0" xfId="1" applyNumberFormat="1" applyFont="1" applyFill="1" applyAlignment="1">
      <alignment horizontal="center"/>
    </xf>
    <xf numFmtId="0" fontId="3" fillId="19" borderId="0" xfId="0" applyFont="1" applyFill="1"/>
    <xf numFmtId="0" fontId="2" fillId="0" borderId="0" xfId="0" applyFont="1" applyFill="1" applyAlignment="1">
      <alignment horizont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Normal="100" workbookViewId="0">
      <pane ySplit="4" topLeftCell="A5" activePane="bottomLeft" state="frozen"/>
      <selection pane="bottomLeft" activeCell="B2" sqref="B2"/>
    </sheetView>
  </sheetViews>
  <sheetFormatPr defaultRowHeight="12.75" x14ac:dyDescent="0.2"/>
  <cols>
    <col min="1" max="1" width="7.42578125" style="73" customWidth="1"/>
    <col min="2" max="2" width="32.85546875" style="73" customWidth="1"/>
    <col min="3" max="3" width="10.7109375" style="73" customWidth="1"/>
    <col min="4" max="4" width="10.28515625" style="83" customWidth="1"/>
    <col min="5" max="5" width="11.7109375" style="73" customWidth="1"/>
    <col min="6" max="6" width="10.5703125" style="83" customWidth="1"/>
    <col min="7" max="7" width="10.28515625" style="83" customWidth="1"/>
    <col min="8" max="8" width="10" style="73" customWidth="1"/>
    <col min="9" max="9" width="10.42578125" style="73" customWidth="1"/>
    <col min="10" max="16384" width="9.140625" style="73"/>
  </cols>
  <sheetData>
    <row r="1" spans="1:9" ht="15" x14ac:dyDescent="0.25">
      <c r="A1" s="68">
        <v>2018</v>
      </c>
      <c r="B1" s="68" t="s">
        <v>227</v>
      </c>
      <c r="C1" s="69"/>
      <c r="D1" s="70" t="s">
        <v>0</v>
      </c>
      <c r="E1" s="71"/>
      <c r="F1" s="70"/>
      <c r="G1" s="72"/>
      <c r="H1" s="69"/>
      <c r="I1" s="69"/>
    </row>
    <row r="2" spans="1:9" s="74" customFormat="1" ht="15" customHeight="1" x14ac:dyDescent="0.2">
      <c r="A2" s="69"/>
      <c r="B2" s="69"/>
      <c r="C2" s="69"/>
      <c r="D2" s="72"/>
      <c r="E2" s="69"/>
      <c r="F2" s="72"/>
      <c r="G2" s="72"/>
      <c r="H2" s="69"/>
      <c r="I2" s="69"/>
    </row>
    <row r="3" spans="1:9" s="74" customFormat="1" x14ac:dyDescent="0.2">
      <c r="C3" s="75">
        <v>2016</v>
      </c>
      <c r="D3" s="76">
        <f>C3+1</f>
        <v>2017</v>
      </c>
      <c r="E3" s="77">
        <f>D3</f>
        <v>2017</v>
      </c>
      <c r="F3" s="78">
        <f>E3</f>
        <v>2017</v>
      </c>
      <c r="G3" s="79">
        <f>F3</f>
        <v>2017</v>
      </c>
      <c r="H3" s="80">
        <f>G3+1</f>
        <v>2018</v>
      </c>
      <c r="I3" s="73" t="s">
        <v>125</v>
      </c>
    </row>
    <row r="4" spans="1:9" s="74" customFormat="1" x14ac:dyDescent="0.2">
      <c r="A4" s="74" t="s">
        <v>1</v>
      </c>
      <c r="B4" s="74" t="s">
        <v>2</v>
      </c>
      <c r="C4" s="75" t="s">
        <v>99</v>
      </c>
      <c r="D4" s="76" t="s">
        <v>100</v>
      </c>
      <c r="E4" s="77" t="s">
        <v>101</v>
      </c>
      <c r="F4" s="78" t="s">
        <v>111</v>
      </c>
      <c r="G4" s="79" t="s">
        <v>102</v>
      </c>
      <c r="H4" s="80" t="s">
        <v>102</v>
      </c>
      <c r="I4" s="76" t="s">
        <v>126</v>
      </c>
    </row>
    <row r="5" spans="1:9" x14ac:dyDescent="0.2">
      <c r="B5" s="81" t="s">
        <v>3</v>
      </c>
      <c r="C5" s="82"/>
      <c r="F5" s="84"/>
      <c r="G5" s="85"/>
      <c r="H5" s="86"/>
    </row>
    <row r="6" spans="1:9" x14ac:dyDescent="0.2">
      <c r="A6" s="73">
        <v>410</v>
      </c>
      <c r="B6" s="73" t="s">
        <v>4</v>
      </c>
      <c r="C6" s="87">
        <v>527865.47</v>
      </c>
      <c r="D6" s="88">
        <v>236603.95</v>
      </c>
      <c r="E6" s="89">
        <f>G6-D6</f>
        <v>297048.90710000001</v>
      </c>
      <c r="F6" s="90">
        <f>E6+D6</f>
        <v>533652.85710000002</v>
      </c>
      <c r="G6" s="91">
        <v>533652.85710000002</v>
      </c>
      <c r="H6" s="92">
        <f>G6*(1+I6)</f>
        <v>538989.385671</v>
      </c>
      <c r="I6" s="182">
        <v>0.01</v>
      </c>
    </row>
    <row r="7" spans="1:9" x14ac:dyDescent="0.2">
      <c r="A7" s="73">
        <v>412</v>
      </c>
      <c r="B7" s="73" t="s">
        <v>5</v>
      </c>
      <c r="C7" s="87">
        <v>1424.04</v>
      </c>
      <c r="D7" s="88">
        <v>1635.53</v>
      </c>
      <c r="E7" s="89">
        <v>0</v>
      </c>
      <c r="F7" s="90">
        <f t="shared" ref="F7:F8" si="0">E7+D7</f>
        <v>1635.53</v>
      </c>
      <c r="G7" s="91">
        <v>450</v>
      </c>
      <c r="H7" s="92">
        <v>450</v>
      </c>
    </row>
    <row r="8" spans="1:9" x14ac:dyDescent="0.2">
      <c r="A8" s="73">
        <v>416</v>
      </c>
      <c r="B8" s="73" t="s">
        <v>6</v>
      </c>
      <c r="C8" s="87">
        <v>1349.24</v>
      </c>
      <c r="D8" s="88">
        <v>0</v>
      </c>
      <c r="E8" s="89">
        <v>0</v>
      </c>
      <c r="F8" s="90">
        <f t="shared" si="0"/>
        <v>0</v>
      </c>
      <c r="G8" s="91">
        <v>0</v>
      </c>
      <c r="H8" s="92">
        <v>0</v>
      </c>
    </row>
    <row r="9" spans="1:9" x14ac:dyDescent="0.2">
      <c r="A9" s="73">
        <v>417</v>
      </c>
      <c r="B9" s="73" t="s">
        <v>7</v>
      </c>
      <c r="C9" s="87">
        <v>24488.49</v>
      </c>
      <c r="D9" s="88">
        <v>13805.07</v>
      </c>
      <c r="E9" s="190" t="s">
        <v>103</v>
      </c>
      <c r="F9" s="90">
        <v>23148</v>
      </c>
      <c r="G9" s="91">
        <v>27000</v>
      </c>
      <c r="H9" s="92">
        <f>12*4018</f>
        <v>48216</v>
      </c>
    </row>
    <row r="10" spans="1:9" x14ac:dyDescent="0.2">
      <c r="A10" s="73">
        <v>419</v>
      </c>
      <c r="B10" s="73" t="s">
        <v>8</v>
      </c>
      <c r="C10" s="87">
        <v>19979.48</v>
      </c>
      <c r="D10" s="88">
        <f>11750+(22915-12178)</f>
        <v>22487</v>
      </c>
      <c r="E10" s="93"/>
      <c r="F10" s="90">
        <f>D10+E10</f>
        <v>22487</v>
      </c>
      <c r="G10" s="91">
        <v>6800</v>
      </c>
      <c r="H10" s="92">
        <f>23000+11750</f>
        <v>34750</v>
      </c>
    </row>
    <row r="11" spans="1:9" x14ac:dyDescent="0.2">
      <c r="B11" s="94" t="s">
        <v>37</v>
      </c>
      <c r="C11" s="95">
        <f>SUM(C6:C10)</f>
        <v>575106.72</v>
      </c>
      <c r="D11" s="96">
        <f>SUM(D6:D10)</f>
        <v>274531.55000000005</v>
      </c>
      <c r="E11" s="97"/>
      <c r="F11" s="98">
        <f>SUM(F6:F10)</f>
        <v>580923.38710000005</v>
      </c>
      <c r="G11" s="91">
        <v>567902.85710000002</v>
      </c>
      <c r="H11" s="92">
        <f t="shared" ref="H11" si="1">SUM(H6:H10)</f>
        <v>622405.385671</v>
      </c>
    </row>
    <row r="12" spans="1:9" x14ac:dyDescent="0.2">
      <c r="C12" s="87"/>
      <c r="D12" s="88"/>
      <c r="E12" s="100"/>
      <c r="F12" s="90"/>
      <c r="G12" s="91"/>
      <c r="H12" s="92"/>
    </row>
    <row r="13" spans="1:9" x14ac:dyDescent="0.2">
      <c r="B13" s="81" t="s">
        <v>9</v>
      </c>
      <c r="C13" s="87"/>
      <c r="D13" s="88"/>
      <c r="E13" s="100"/>
      <c r="F13" s="90"/>
      <c r="G13" s="91"/>
      <c r="H13" s="92"/>
    </row>
    <row r="14" spans="1:9" x14ac:dyDescent="0.2">
      <c r="A14" s="73">
        <v>420</v>
      </c>
      <c r="B14" s="73" t="s">
        <v>10</v>
      </c>
      <c r="C14" s="87">
        <v>6790.33</v>
      </c>
      <c r="D14" s="88">
        <v>7545.44</v>
      </c>
      <c r="E14" s="93"/>
      <c r="F14" s="90">
        <f t="shared" ref="F14:F19" si="2">SUM(D14:E14)</f>
        <v>7545.44</v>
      </c>
      <c r="G14" s="91">
        <v>6800</v>
      </c>
      <c r="H14" s="101">
        <v>7500</v>
      </c>
    </row>
    <row r="15" spans="1:9" x14ac:dyDescent="0.2">
      <c r="A15" s="73">
        <v>421</v>
      </c>
      <c r="B15" s="73" t="s">
        <v>105</v>
      </c>
      <c r="C15" s="87">
        <v>88</v>
      </c>
      <c r="D15" s="88">
        <v>2424.34</v>
      </c>
      <c r="E15" s="93"/>
      <c r="F15" s="90">
        <f t="shared" si="2"/>
        <v>2424.34</v>
      </c>
      <c r="G15" s="91">
        <v>0</v>
      </c>
      <c r="H15" s="92">
        <v>0</v>
      </c>
    </row>
    <row r="16" spans="1:9" x14ac:dyDescent="0.2">
      <c r="A16" s="73">
        <v>422</v>
      </c>
      <c r="B16" s="73" t="s">
        <v>11</v>
      </c>
      <c r="C16" s="87">
        <v>46049.7</v>
      </c>
      <c r="D16" s="88">
        <v>6905.22</v>
      </c>
      <c r="E16" s="88">
        <f>G16-D16</f>
        <v>39128.78</v>
      </c>
      <c r="F16" s="90">
        <f t="shared" si="2"/>
        <v>46034</v>
      </c>
      <c r="G16" s="102">
        <v>46034</v>
      </c>
      <c r="H16" s="103">
        <v>46034</v>
      </c>
    </row>
    <row r="17" spans="1:8" x14ac:dyDescent="0.2">
      <c r="A17" s="73">
        <v>426</v>
      </c>
      <c r="B17" s="73" t="s">
        <v>12</v>
      </c>
      <c r="C17" s="87">
        <v>88300.2</v>
      </c>
      <c r="D17" s="88">
        <v>66225.149999999994</v>
      </c>
      <c r="E17" s="88">
        <f>G17-D17</f>
        <v>22074.850000000006</v>
      </c>
      <c r="F17" s="90">
        <f t="shared" si="2"/>
        <v>88300</v>
      </c>
      <c r="G17" s="91">
        <v>88300</v>
      </c>
      <c r="H17" s="92">
        <v>95798.9</v>
      </c>
    </row>
    <row r="18" spans="1:8" x14ac:dyDescent="0.2">
      <c r="C18" s="87"/>
      <c r="D18" s="88"/>
      <c r="E18" s="100"/>
      <c r="F18" s="90">
        <f t="shared" si="2"/>
        <v>0</v>
      </c>
      <c r="G18" s="91"/>
      <c r="H18" s="92"/>
    </row>
    <row r="19" spans="1:8" x14ac:dyDescent="0.2">
      <c r="A19" s="73">
        <v>429</v>
      </c>
      <c r="B19" s="73" t="s">
        <v>14</v>
      </c>
      <c r="C19" s="87">
        <v>2390.67</v>
      </c>
      <c r="D19" s="88">
        <v>1400.06</v>
      </c>
      <c r="E19" s="93"/>
      <c r="F19" s="90">
        <f t="shared" si="2"/>
        <v>1400.06</v>
      </c>
      <c r="G19" s="91">
        <v>2400</v>
      </c>
      <c r="H19" s="92">
        <v>2400</v>
      </c>
    </row>
    <row r="20" spans="1:8" x14ac:dyDescent="0.2">
      <c r="B20" s="94" t="s">
        <v>38</v>
      </c>
      <c r="C20" s="95">
        <f>SUM(C14:C19)</f>
        <v>143618.9</v>
      </c>
      <c r="D20" s="96">
        <f>SUM(D14:D19)</f>
        <v>84500.209999999992</v>
      </c>
      <c r="E20" s="97"/>
      <c r="F20" s="97">
        <f t="shared" ref="F20:H20" si="3">SUM(F14:F19)</f>
        <v>145703.84</v>
      </c>
      <c r="G20" s="102">
        <v>143534</v>
      </c>
      <c r="H20" s="103">
        <f t="shared" si="3"/>
        <v>151732.9</v>
      </c>
    </row>
    <row r="21" spans="1:8" x14ac:dyDescent="0.2">
      <c r="C21" s="87"/>
      <c r="D21" s="88"/>
      <c r="E21" s="100"/>
      <c r="F21" s="90"/>
      <c r="G21" s="91"/>
      <c r="H21" s="92"/>
    </row>
    <row r="22" spans="1:8" x14ac:dyDescent="0.2">
      <c r="B22" s="81" t="s">
        <v>15</v>
      </c>
      <c r="C22" s="87"/>
      <c r="D22" s="88"/>
      <c r="E22" s="100"/>
      <c r="F22" s="90"/>
      <c r="G22" s="91"/>
      <c r="H22" s="92"/>
    </row>
    <row r="23" spans="1:8" x14ac:dyDescent="0.2">
      <c r="A23" s="73">
        <v>442</v>
      </c>
      <c r="B23" s="73" t="s">
        <v>16</v>
      </c>
      <c r="C23" s="87">
        <v>1116.56</v>
      </c>
      <c r="D23" s="88">
        <v>1375</v>
      </c>
      <c r="E23" s="93"/>
      <c r="F23" s="90">
        <f t="shared" ref="F23:F28" si="4">SUM(D23:E23)</f>
        <v>1375</v>
      </c>
      <c r="G23" s="91">
        <v>1000</v>
      </c>
      <c r="H23" s="92">
        <v>1000</v>
      </c>
    </row>
    <row r="24" spans="1:8" x14ac:dyDescent="0.2">
      <c r="A24" s="73">
        <v>443</v>
      </c>
      <c r="B24" s="73" t="s">
        <v>17</v>
      </c>
      <c r="C24" s="87">
        <v>400.07</v>
      </c>
      <c r="D24" s="88">
        <v>112.1</v>
      </c>
      <c r="E24" s="93"/>
      <c r="F24" s="90">
        <f t="shared" si="4"/>
        <v>112.1</v>
      </c>
      <c r="G24" s="91">
        <v>150</v>
      </c>
      <c r="H24" s="92">
        <v>150</v>
      </c>
    </row>
    <row r="25" spans="1:8" x14ac:dyDescent="0.2">
      <c r="A25" s="73">
        <v>444</v>
      </c>
      <c r="B25" s="73" t="s">
        <v>18</v>
      </c>
      <c r="C25" s="87">
        <v>150</v>
      </c>
      <c r="D25" s="88">
        <v>210</v>
      </c>
      <c r="E25" s="100">
        <v>0</v>
      </c>
      <c r="F25" s="90">
        <f t="shared" si="4"/>
        <v>210</v>
      </c>
      <c r="G25" s="91">
        <v>100</v>
      </c>
      <c r="H25" s="92">
        <v>100</v>
      </c>
    </row>
    <row r="26" spans="1:8" x14ac:dyDescent="0.2">
      <c r="A26" s="73">
        <v>445</v>
      </c>
      <c r="B26" s="73" t="s">
        <v>19</v>
      </c>
      <c r="C26" s="87"/>
      <c r="D26" s="88"/>
      <c r="E26" s="100">
        <v>0</v>
      </c>
      <c r="F26" s="90">
        <f t="shared" si="4"/>
        <v>0</v>
      </c>
      <c r="G26" s="91">
        <v>0</v>
      </c>
      <c r="H26" s="92">
        <v>0</v>
      </c>
    </row>
    <row r="27" spans="1:8" x14ac:dyDescent="0.2">
      <c r="A27" s="73">
        <v>446</v>
      </c>
      <c r="B27" s="73" t="s">
        <v>20</v>
      </c>
      <c r="C27" s="87">
        <v>898.5</v>
      </c>
      <c r="D27" s="88">
        <v>2657.66</v>
      </c>
      <c r="E27" s="93"/>
      <c r="F27" s="90">
        <f t="shared" si="4"/>
        <v>2657.66</v>
      </c>
      <c r="G27" s="91">
        <v>1300</v>
      </c>
      <c r="H27" s="92">
        <v>1300</v>
      </c>
    </row>
    <row r="28" spans="1:8" x14ac:dyDescent="0.2">
      <c r="A28" s="73">
        <v>458</v>
      </c>
      <c r="B28" s="73" t="s">
        <v>26</v>
      </c>
      <c r="C28" s="87">
        <v>10683.017</v>
      </c>
      <c r="D28" s="88">
        <v>8282.59</v>
      </c>
      <c r="E28" s="104">
        <f>D28/3</f>
        <v>2760.8633333333332</v>
      </c>
      <c r="F28" s="90">
        <f t="shared" si="4"/>
        <v>11043.453333333333</v>
      </c>
      <c r="G28" s="91">
        <v>10000</v>
      </c>
      <c r="H28" s="92">
        <v>11000</v>
      </c>
    </row>
    <row r="29" spans="1:8" x14ac:dyDescent="0.2">
      <c r="B29" s="105" t="s">
        <v>21</v>
      </c>
      <c r="C29" s="95">
        <f>SUM(C23:C28)</f>
        <v>13248.147000000001</v>
      </c>
      <c r="D29" s="96">
        <f>SUM(D23:D28)</f>
        <v>12637.35</v>
      </c>
      <c r="E29" s="97"/>
      <c r="F29" s="97">
        <f t="shared" ref="F29:H29" si="5">SUM(F23:F28)</f>
        <v>15398.213333333333</v>
      </c>
      <c r="G29" s="102">
        <v>12550</v>
      </c>
      <c r="H29" s="103">
        <f t="shared" si="5"/>
        <v>13550</v>
      </c>
    </row>
    <row r="30" spans="1:8" x14ac:dyDescent="0.2">
      <c r="C30" s="87"/>
      <c r="D30" s="88"/>
      <c r="E30" s="100"/>
      <c r="F30" s="90"/>
      <c r="G30" s="91"/>
      <c r="H30" s="92"/>
    </row>
    <row r="31" spans="1:8" x14ac:dyDescent="0.2">
      <c r="B31" s="81" t="s">
        <v>22</v>
      </c>
      <c r="C31" s="87"/>
      <c r="D31" s="88"/>
      <c r="E31" s="100"/>
      <c r="F31" s="90"/>
      <c r="G31" s="91"/>
      <c r="H31" s="92"/>
    </row>
    <row r="32" spans="1:8" x14ac:dyDescent="0.2">
      <c r="A32" s="73">
        <v>451</v>
      </c>
      <c r="B32" s="73" t="s">
        <v>23</v>
      </c>
      <c r="C32" s="87">
        <v>1248.8</v>
      </c>
      <c r="D32" s="88">
        <v>225</v>
      </c>
      <c r="E32" s="100">
        <v>0</v>
      </c>
      <c r="F32" s="90">
        <f t="shared" ref="F32:F35" si="6">SUM(D32:E32)</f>
        <v>225</v>
      </c>
      <c r="G32" s="91">
        <v>100</v>
      </c>
      <c r="H32" s="92">
        <v>100</v>
      </c>
    </row>
    <row r="33" spans="1:8" x14ac:dyDescent="0.2">
      <c r="A33" s="73">
        <v>452</v>
      </c>
      <c r="B33" s="74" t="s">
        <v>129</v>
      </c>
      <c r="C33" s="87"/>
      <c r="D33" s="88">
        <v>560</v>
      </c>
      <c r="E33" s="100">
        <v>0</v>
      </c>
      <c r="F33" s="90">
        <f t="shared" si="6"/>
        <v>560</v>
      </c>
      <c r="G33" s="91">
        <v>250</v>
      </c>
      <c r="H33" s="92">
        <v>250</v>
      </c>
    </row>
    <row r="34" spans="1:8" x14ac:dyDescent="0.2">
      <c r="A34" s="73">
        <v>453</v>
      </c>
      <c r="B34" s="73" t="s">
        <v>24</v>
      </c>
      <c r="C34" s="87"/>
      <c r="D34" s="88"/>
      <c r="E34" s="93"/>
      <c r="F34" s="90">
        <f t="shared" si="6"/>
        <v>0</v>
      </c>
      <c r="G34" s="91">
        <v>0</v>
      </c>
      <c r="H34" s="92">
        <v>0</v>
      </c>
    </row>
    <row r="35" spans="1:8" x14ac:dyDescent="0.2">
      <c r="A35" s="73">
        <v>454</v>
      </c>
      <c r="B35" s="73" t="s">
        <v>25</v>
      </c>
      <c r="C35" s="87">
        <v>3875</v>
      </c>
      <c r="D35" s="88">
        <v>900</v>
      </c>
      <c r="E35" s="100">
        <v>0</v>
      </c>
      <c r="F35" s="90">
        <f t="shared" si="6"/>
        <v>900</v>
      </c>
      <c r="G35" s="91">
        <v>2000</v>
      </c>
      <c r="H35" s="92">
        <v>2000</v>
      </c>
    </row>
    <row r="36" spans="1:8" x14ac:dyDescent="0.2">
      <c r="B36" s="105" t="s">
        <v>27</v>
      </c>
      <c r="C36" s="87">
        <f>SUM(C32:C35)</f>
        <v>5123.8</v>
      </c>
      <c r="D36" s="88">
        <f>SUM(D32:D35)</f>
        <v>1685</v>
      </c>
      <c r="E36" s="98"/>
      <c r="F36" s="98">
        <f t="shared" ref="F36:H36" si="7">SUM(F32:F35)</f>
        <v>1685</v>
      </c>
      <c r="G36" s="102">
        <v>2350</v>
      </c>
      <c r="H36" s="103">
        <f t="shared" si="7"/>
        <v>2350</v>
      </c>
    </row>
    <row r="37" spans="1:8" x14ac:dyDescent="0.2">
      <c r="C37" s="95"/>
      <c r="D37" s="96"/>
      <c r="E37" s="99"/>
      <c r="F37" s="106"/>
      <c r="G37" s="102"/>
      <c r="H37" s="103"/>
    </row>
    <row r="38" spans="1:8" x14ac:dyDescent="0.2">
      <c r="C38" s="87"/>
      <c r="D38" s="88"/>
      <c r="E38" s="100"/>
      <c r="F38" s="90"/>
      <c r="G38" s="91"/>
      <c r="H38" s="92"/>
    </row>
    <row r="39" spans="1:8" x14ac:dyDescent="0.2">
      <c r="B39" s="81" t="s">
        <v>28</v>
      </c>
      <c r="C39" s="87"/>
      <c r="D39" s="88"/>
      <c r="E39" s="100"/>
      <c r="F39" s="90"/>
      <c r="G39" s="91"/>
      <c r="H39" s="92"/>
    </row>
    <row r="40" spans="1:8" x14ac:dyDescent="0.2">
      <c r="A40" s="73">
        <v>460</v>
      </c>
      <c r="B40" s="73" t="s">
        <v>29</v>
      </c>
      <c r="C40" s="87">
        <v>1492.98</v>
      </c>
      <c r="D40" s="88">
        <v>651.76</v>
      </c>
      <c r="E40" s="104">
        <f>D40/3</f>
        <v>217.25333333333333</v>
      </c>
      <c r="F40" s="90">
        <f t="shared" ref="F40:F43" si="8">SUM(D40:E40)</f>
        <v>869.01333333333332</v>
      </c>
      <c r="G40" s="91">
        <v>1500</v>
      </c>
      <c r="H40" s="92">
        <v>1500</v>
      </c>
    </row>
    <row r="41" spans="1:8" x14ac:dyDescent="0.2">
      <c r="A41" s="73">
        <v>461</v>
      </c>
      <c r="B41" s="73" t="s">
        <v>30</v>
      </c>
      <c r="C41" s="87">
        <v>125.8</v>
      </c>
      <c r="D41" s="88">
        <v>108.16</v>
      </c>
      <c r="E41" s="104">
        <f>D41/3</f>
        <v>36.053333333333335</v>
      </c>
      <c r="F41" s="90">
        <f t="shared" si="8"/>
        <v>144.21333333333334</v>
      </c>
      <c r="G41" s="91">
        <v>300</v>
      </c>
      <c r="H41" s="92">
        <v>300</v>
      </c>
    </row>
    <row r="42" spans="1:8" x14ac:dyDescent="0.2">
      <c r="A42" s="73">
        <v>462</v>
      </c>
      <c r="B42" s="73" t="s">
        <v>31</v>
      </c>
      <c r="C42" s="87">
        <v>446.17</v>
      </c>
      <c r="D42" s="88">
        <v>311.27999999999997</v>
      </c>
      <c r="E42" s="104">
        <f>D42/3</f>
        <v>103.75999999999999</v>
      </c>
      <c r="F42" s="90">
        <f t="shared" si="8"/>
        <v>415.03999999999996</v>
      </c>
      <c r="G42" s="91">
        <v>450</v>
      </c>
      <c r="H42" s="92">
        <v>450</v>
      </c>
    </row>
    <row r="43" spans="1:8" x14ac:dyDescent="0.2">
      <c r="A43" s="73">
        <v>463</v>
      </c>
      <c r="B43" s="73" t="s">
        <v>96</v>
      </c>
      <c r="C43" s="87">
        <v>2848</v>
      </c>
      <c r="D43" s="88">
        <v>3057</v>
      </c>
      <c r="E43" s="100"/>
      <c r="F43" s="90">
        <f t="shared" si="8"/>
        <v>3057</v>
      </c>
      <c r="G43" s="91">
        <v>2500</v>
      </c>
      <c r="H43" s="92">
        <v>2500</v>
      </c>
    </row>
    <row r="44" spans="1:8" x14ac:dyDescent="0.2">
      <c r="B44" s="107" t="s">
        <v>32</v>
      </c>
      <c r="C44" s="87">
        <f>SUM(C40:C43)</f>
        <v>4912.95</v>
      </c>
      <c r="D44" s="88">
        <f>SUM(D40:D43)</f>
        <v>4128.2</v>
      </c>
      <c r="E44" s="98"/>
      <c r="F44" s="98">
        <f t="shared" ref="F44:H44" si="9">SUM(F40:F43)</f>
        <v>4485.2666666666664</v>
      </c>
      <c r="G44" s="91">
        <v>4750</v>
      </c>
      <c r="H44" s="92">
        <f t="shared" si="9"/>
        <v>4750</v>
      </c>
    </row>
    <row r="45" spans="1:8" x14ac:dyDescent="0.2">
      <c r="C45" s="87"/>
      <c r="D45" s="88"/>
      <c r="E45" s="100"/>
      <c r="F45" s="90"/>
      <c r="G45" s="91"/>
      <c r="H45" s="92"/>
    </row>
    <row r="46" spans="1:8" x14ac:dyDescent="0.2">
      <c r="C46" s="95"/>
      <c r="D46" s="96"/>
      <c r="E46" s="99"/>
      <c r="F46" s="106"/>
      <c r="G46" s="102"/>
      <c r="H46" s="103"/>
    </row>
    <row r="47" spans="1:8" x14ac:dyDescent="0.2">
      <c r="C47" s="95"/>
      <c r="D47" s="96"/>
      <c r="E47" s="99"/>
      <c r="F47" s="106"/>
      <c r="G47" s="102"/>
      <c r="H47" s="103"/>
    </row>
    <row r="48" spans="1:8" x14ac:dyDescent="0.2">
      <c r="B48" s="81" t="s">
        <v>33</v>
      </c>
      <c r="C48" s="87"/>
      <c r="D48" s="88"/>
      <c r="E48" s="100"/>
      <c r="F48" s="90"/>
      <c r="G48" s="91"/>
      <c r="H48" s="92"/>
    </row>
    <row r="49" spans="1:8" x14ac:dyDescent="0.2">
      <c r="A49" s="73">
        <v>457</v>
      </c>
      <c r="B49" s="74" t="s">
        <v>132</v>
      </c>
      <c r="C49" s="87"/>
      <c r="D49" s="88">
        <v>800</v>
      </c>
      <c r="E49" s="100">
        <v>0</v>
      </c>
      <c r="F49" s="90">
        <f t="shared" ref="F49:F53" si="10">SUM(D49:E49)</f>
        <v>800</v>
      </c>
      <c r="G49" s="91">
        <v>800</v>
      </c>
      <c r="H49" s="92">
        <v>800</v>
      </c>
    </row>
    <row r="50" spans="1:8" x14ac:dyDescent="0.2">
      <c r="A50" s="73">
        <v>464</v>
      </c>
      <c r="B50" s="73" t="s">
        <v>34</v>
      </c>
      <c r="C50" s="87">
        <v>7007.05</v>
      </c>
      <c r="D50" s="88">
        <v>7380.201</v>
      </c>
      <c r="E50" s="93"/>
      <c r="F50" s="90">
        <f t="shared" si="10"/>
        <v>7380.201</v>
      </c>
      <c r="G50" s="91">
        <v>7000</v>
      </c>
      <c r="H50" s="122">
        <v>7000</v>
      </c>
    </row>
    <row r="51" spans="1:8" x14ac:dyDescent="0.2">
      <c r="A51" s="73">
        <v>455</v>
      </c>
      <c r="B51" s="74" t="s">
        <v>150</v>
      </c>
      <c r="C51" s="87">
        <v>1920.91</v>
      </c>
      <c r="D51" s="88">
        <v>1862.48</v>
      </c>
      <c r="E51" s="100">
        <v>0</v>
      </c>
      <c r="F51" s="90">
        <f t="shared" si="10"/>
        <v>1862.48</v>
      </c>
      <c r="G51" s="91">
        <v>1000</v>
      </c>
      <c r="H51" s="92">
        <f>1000+28544</f>
        <v>29544</v>
      </c>
    </row>
    <row r="52" spans="1:8" x14ac:dyDescent="0.2">
      <c r="A52" s="73">
        <v>466</v>
      </c>
      <c r="B52" s="74" t="s">
        <v>35</v>
      </c>
      <c r="C52" s="87"/>
      <c r="D52" s="88"/>
      <c r="E52" s="100">
        <v>0</v>
      </c>
      <c r="F52" s="90">
        <f t="shared" si="10"/>
        <v>0</v>
      </c>
      <c r="G52" s="91">
        <v>0</v>
      </c>
      <c r="H52" s="92">
        <v>5000</v>
      </c>
    </row>
    <row r="53" spans="1:8" x14ac:dyDescent="0.2">
      <c r="B53" s="74" t="s">
        <v>141</v>
      </c>
      <c r="C53" s="87"/>
      <c r="D53" s="88"/>
      <c r="E53" s="100">
        <v>168000</v>
      </c>
      <c r="F53" s="90">
        <f t="shared" si="10"/>
        <v>168000</v>
      </c>
      <c r="G53" s="91">
        <v>175375</v>
      </c>
      <c r="H53" s="122">
        <v>127989</v>
      </c>
    </row>
    <row r="54" spans="1:8" x14ac:dyDescent="0.2">
      <c r="B54" s="74" t="s">
        <v>128</v>
      </c>
      <c r="C54" s="87">
        <v>1000</v>
      </c>
      <c r="D54" s="88"/>
      <c r="E54" s="88">
        <v>1000</v>
      </c>
      <c r="F54" s="90">
        <v>0</v>
      </c>
      <c r="G54" s="91">
        <v>1000</v>
      </c>
      <c r="H54" s="92">
        <v>1000</v>
      </c>
    </row>
    <row r="55" spans="1:8" x14ac:dyDescent="0.2">
      <c r="B55" s="107" t="s">
        <v>36</v>
      </c>
      <c r="C55" s="87"/>
      <c r="D55" s="88"/>
      <c r="E55" s="98"/>
      <c r="F55" s="98">
        <f>SUM(F50:F54)</f>
        <v>177242.68100000001</v>
      </c>
      <c r="G55" s="102">
        <v>185175</v>
      </c>
      <c r="H55" s="103">
        <f>SUM(H49:H54)</f>
        <v>171333</v>
      </c>
    </row>
    <row r="56" spans="1:8" x14ac:dyDescent="0.2">
      <c r="C56" s="87"/>
      <c r="D56" s="88"/>
      <c r="E56" s="100"/>
      <c r="F56" s="90"/>
      <c r="G56" s="91"/>
      <c r="H56" s="92"/>
    </row>
    <row r="57" spans="1:8" x14ac:dyDescent="0.2">
      <c r="C57" s="87"/>
      <c r="D57" s="88"/>
      <c r="E57" s="100"/>
      <c r="F57" s="90"/>
      <c r="G57" s="91"/>
      <c r="H57" s="92"/>
    </row>
    <row r="58" spans="1:8" x14ac:dyDescent="0.2">
      <c r="B58" s="108" t="s">
        <v>97</v>
      </c>
      <c r="C58" s="95">
        <f>SUM(C10:C57)/2</f>
        <v>469410.87700000004</v>
      </c>
      <c r="D58" s="96">
        <f>SUM(D10:D57)/2</f>
        <v>256481.37550000002</v>
      </c>
      <c r="E58" s="109"/>
      <c r="F58" s="109">
        <f t="shared" ref="F58:H58" si="11">SUM(F6:F57)/2</f>
        <v>925838.38810000021</v>
      </c>
      <c r="G58" s="102">
        <v>916261.85710000002</v>
      </c>
      <c r="H58" s="103">
        <f t="shared" si="11"/>
        <v>966121.2856709999</v>
      </c>
    </row>
    <row r="59" spans="1:8" x14ac:dyDescent="0.2">
      <c r="B59" s="73" t="s">
        <v>113</v>
      </c>
      <c r="C59" s="95"/>
      <c r="D59" s="96"/>
      <c r="E59" s="99"/>
      <c r="F59" s="106"/>
      <c r="G59" s="102">
        <v>382609</v>
      </c>
      <c r="H59" s="103">
        <f>SUM(H14:H55)/2+SUM(H7:H10)</f>
        <v>427131.9</v>
      </c>
    </row>
    <row r="60" spans="1:8" x14ac:dyDescent="0.2">
      <c r="B60" s="81" t="s">
        <v>98</v>
      </c>
      <c r="C60" s="95"/>
      <c r="D60" s="96"/>
      <c r="E60" s="99"/>
      <c r="F60" s="106"/>
      <c r="G60" s="110">
        <v>0</v>
      </c>
      <c r="H60" s="111">
        <v>0</v>
      </c>
    </row>
    <row r="61" spans="1:8" x14ac:dyDescent="0.2">
      <c r="C61" s="95"/>
      <c r="D61" s="96"/>
      <c r="E61" s="99"/>
      <c r="F61" s="106"/>
      <c r="G61" s="91"/>
      <c r="H61" s="92"/>
    </row>
    <row r="62" spans="1:8" x14ac:dyDescent="0.2">
      <c r="C62" s="95"/>
      <c r="D62" s="96"/>
      <c r="E62" s="99"/>
      <c r="F62" s="106"/>
      <c r="G62" s="91"/>
      <c r="H62" s="92"/>
    </row>
    <row r="63" spans="1:8" x14ac:dyDescent="0.2">
      <c r="B63" s="108" t="s">
        <v>110</v>
      </c>
      <c r="C63" s="109"/>
      <c r="D63" s="109"/>
      <c r="E63" s="109"/>
      <c r="F63" s="109">
        <f>F58+F60</f>
        <v>925838.38810000021</v>
      </c>
      <c r="G63" s="112">
        <v>916261.85710000002</v>
      </c>
      <c r="H63" s="113">
        <f>H58+H60</f>
        <v>966121.2856709999</v>
      </c>
    </row>
    <row r="64" spans="1:8" x14ac:dyDescent="0.2">
      <c r="C64" s="82"/>
      <c r="F64" s="114"/>
      <c r="G64" s="115"/>
      <c r="H64" s="116"/>
    </row>
    <row r="65" spans="2:8" x14ac:dyDescent="0.2">
      <c r="B65" s="117" t="s">
        <v>109</v>
      </c>
      <c r="C65" s="118"/>
      <c r="D65" s="118"/>
      <c r="E65" s="118" t="s">
        <v>112</v>
      </c>
      <c r="F65" s="119">
        <f>Expenditures!F92-F58</f>
        <v>-14383.785933333449</v>
      </c>
      <c r="G65" s="120">
        <v>8.3999998169019818E-3</v>
      </c>
      <c r="H65" s="121">
        <f>Expenditures!H92-Revenues!H63</f>
        <v>167.55051650013775</v>
      </c>
    </row>
  </sheetData>
  <phoneticPr fontId="0" type="noConversion"/>
  <printOptions gridLines="1"/>
  <pageMargins left="0.5" right="0.5" top="0.5" bottom="0.5" header="0" footer="0"/>
  <pageSetup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workbookViewId="0">
      <pane ySplit="4" topLeftCell="A61" activePane="bottomLeft" state="frozen"/>
      <selection pane="bottomLeft" activeCell="H88" sqref="H88"/>
    </sheetView>
  </sheetViews>
  <sheetFormatPr defaultRowHeight="15" x14ac:dyDescent="0.25"/>
  <cols>
    <col min="1" max="1" width="8" style="17" customWidth="1"/>
    <col min="2" max="2" width="36.7109375" style="17" customWidth="1"/>
    <col min="3" max="3" width="12.140625" style="12" customWidth="1"/>
    <col min="4" max="4" width="12.140625" style="20" customWidth="1"/>
    <col min="5" max="5" width="12.140625" style="17" customWidth="1"/>
    <col min="6" max="6" width="12.140625" style="12" customWidth="1"/>
    <col min="7" max="7" width="12.140625" style="21" customWidth="1"/>
    <col min="8" max="8" width="12.140625" style="17" customWidth="1"/>
    <col min="9" max="9" width="11.42578125" style="17" customWidth="1"/>
    <col min="10" max="10" width="11.140625" style="17" bestFit="1" customWidth="1"/>
    <col min="11" max="16384" width="9.140625" style="17"/>
  </cols>
  <sheetData>
    <row r="1" spans="1:9" ht="18" customHeight="1" x14ac:dyDescent="0.25">
      <c r="A1" s="11">
        <f>Revenues!A1</f>
        <v>2018</v>
      </c>
      <c r="B1" s="11" t="str">
        <f>Revenues!B1</f>
        <v>Board Approved</v>
      </c>
      <c r="D1" s="13" t="s">
        <v>39</v>
      </c>
      <c r="E1" s="14"/>
      <c r="F1" s="15"/>
      <c r="G1" s="16"/>
    </row>
    <row r="2" spans="1:9" ht="12" customHeight="1" x14ac:dyDescent="0.25">
      <c r="B2" s="18" t="s">
        <v>103</v>
      </c>
      <c r="C2" s="19" t="s">
        <v>103</v>
      </c>
    </row>
    <row r="3" spans="1:9" ht="12" customHeight="1" x14ac:dyDescent="0.25">
      <c r="C3" s="22">
        <v>2016</v>
      </c>
      <c r="D3" s="23">
        <f>C3+1</f>
        <v>2017</v>
      </c>
      <c r="E3" s="24">
        <f>D3</f>
        <v>2017</v>
      </c>
      <c r="F3" s="25">
        <f>E3</f>
        <v>2017</v>
      </c>
      <c r="G3" s="26">
        <f>F3</f>
        <v>2017</v>
      </c>
      <c r="H3" s="27">
        <f>G3+1</f>
        <v>2018</v>
      </c>
    </row>
    <row r="4" spans="1:9" ht="12" customHeight="1" x14ac:dyDescent="0.25">
      <c r="C4" s="22" t="s">
        <v>99</v>
      </c>
      <c r="D4" s="23" t="s">
        <v>100</v>
      </c>
      <c r="E4" s="24" t="s">
        <v>101</v>
      </c>
      <c r="F4" s="25" t="s">
        <v>104</v>
      </c>
      <c r="G4" s="26" t="s">
        <v>102</v>
      </c>
      <c r="H4" s="27" t="s">
        <v>102</v>
      </c>
    </row>
    <row r="5" spans="1:9" x14ac:dyDescent="0.25">
      <c r="A5" s="17" t="s">
        <v>40</v>
      </c>
      <c r="B5" s="17" t="s">
        <v>2</v>
      </c>
      <c r="C5" s="28"/>
      <c r="D5" s="29"/>
      <c r="F5" s="30"/>
      <c r="G5" s="31"/>
      <c r="H5" s="32"/>
    </row>
    <row r="6" spans="1:9" x14ac:dyDescent="0.25">
      <c r="B6" s="33" t="s">
        <v>41</v>
      </c>
      <c r="C6" s="28"/>
      <c r="D6" s="29"/>
      <c r="F6" s="30"/>
      <c r="G6" s="31"/>
      <c r="H6" s="32"/>
    </row>
    <row r="7" spans="1:9" x14ac:dyDescent="0.25">
      <c r="A7" s="17">
        <v>601</v>
      </c>
      <c r="B7" s="17" t="s">
        <v>148</v>
      </c>
      <c r="C7" s="34">
        <v>12575</v>
      </c>
      <c r="D7" s="35">
        <v>8191.68</v>
      </c>
      <c r="E7" s="36">
        <f>D7/3</f>
        <v>2730.56</v>
      </c>
      <c r="F7" s="37">
        <f t="shared" ref="F7:F18" si="0">SUM(D7:E7)</f>
        <v>10922.24</v>
      </c>
      <c r="G7" s="38">
        <v>12175</v>
      </c>
      <c r="H7" s="39">
        <f>11050+3*15*25</f>
        <v>12175</v>
      </c>
    </row>
    <row r="8" spans="1:9" x14ac:dyDescent="0.25">
      <c r="A8" s="17">
        <v>602</v>
      </c>
      <c r="B8" s="17" t="s">
        <v>42</v>
      </c>
      <c r="C8" s="34">
        <v>2833.96</v>
      </c>
      <c r="D8" s="35">
        <v>1398.33</v>
      </c>
      <c r="E8" s="36">
        <f t="shared" ref="E8:E16" si="1">D8/3</f>
        <v>466.10999999999996</v>
      </c>
      <c r="F8" s="37">
        <f t="shared" si="0"/>
        <v>1864.4399999999998</v>
      </c>
      <c r="G8" s="38">
        <v>2500</v>
      </c>
      <c r="H8" s="40">
        <v>2500</v>
      </c>
    </row>
    <row r="9" spans="1:9" x14ac:dyDescent="0.25">
      <c r="A9" s="17">
        <v>60150</v>
      </c>
      <c r="B9" s="17" t="s">
        <v>43</v>
      </c>
      <c r="C9" s="34">
        <v>625</v>
      </c>
      <c r="D9" s="35">
        <v>50</v>
      </c>
      <c r="E9" s="36">
        <v>600</v>
      </c>
      <c r="F9" s="37">
        <f t="shared" si="0"/>
        <v>650</v>
      </c>
      <c r="G9" s="38">
        <v>1000</v>
      </c>
      <c r="H9" s="39">
        <v>1000</v>
      </c>
    </row>
    <row r="10" spans="1:9" x14ac:dyDescent="0.25">
      <c r="A10" s="17">
        <v>603</v>
      </c>
      <c r="B10" s="17" t="s">
        <v>147</v>
      </c>
      <c r="C10" s="34">
        <v>12400</v>
      </c>
      <c r="D10" s="35">
        <v>8473.59</v>
      </c>
      <c r="E10" s="36">
        <f t="shared" si="1"/>
        <v>2824.53</v>
      </c>
      <c r="F10" s="37">
        <f t="shared" si="0"/>
        <v>11298.12</v>
      </c>
      <c r="G10" s="38">
        <v>13084.999999999998</v>
      </c>
      <c r="H10" s="40">
        <f>13085*1.025+15*25</f>
        <v>13787.124999999998</v>
      </c>
      <c r="I10" s="18" t="s">
        <v>103</v>
      </c>
    </row>
    <row r="11" spans="1:9" x14ac:dyDescent="0.25">
      <c r="A11" s="17">
        <v>604</v>
      </c>
      <c r="B11" s="17" t="s">
        <v>42</v>
      </c>
      <c r="C11" s="34">
        <v>1878.47</v>
      </c>
      <c r="D11" s="35">
        <v>2433.3200000000002</v>
      </c>
      <c r="E11" s="36">
        <f t="shared" si="1"/>
        <v>811.10666666666668</v>
      </c>
      <c r="F11" s="37">
        <f t="shared" si="0"/>
        <v>3244.4266666666667</v>
      </c>
      <c r="G11" s="38">
        <v>2000</v>
      </c>
      <c r="H11" s="39">
        <v>2500</v>
      </c>
    </row>
    <row r="12" spans="1:9" x14ac:dyDescent="0.25">
      <c r="A12" s="17">
        <v>605</v>
      </c>
      <c r="B12" s="17" t="s">
        <v>149</v>
      </c>
      <c r="C12" s="34">
        <v>8300</v>
      </c>
      <c r="D12" s="35">
        <v>5605</v>
      </c>
      <c r="E12" s="36">
        <f t="shared" si="1"/>
        <v>1868.3333333333333</v>
      </c>
      <c r="F12" s="37">
        <f t="shared" si="0"/>
        <v>7473.333333333333</v>
      </c>
      <c r="G12" s="38">
        <v>8370</v>
      </c>
      <c r="H12" s="40">
        <f>8370*1.025+15*25</f>
        <v>8954.25</v>
      </c>
      <c r="I12" s="18" t="s">
        <v>103</v>
      </c>
    </row>
    <row r="13" spans="1:9" x14ac:dyDescent="0.25">
      <c r="A13" s="17">
        <v>606</v>
      </c>
      <c r="B13" s="17" t="s">
        <v>42</v>
      </c>
      <c r="C13" s="34">
        <v>1859.71</v>
      </c>
      <c r="D13" s="35">
        <v>912.98</v>
      </c>
      <c r="E13" s="36">
        <f t="shared" si="1"/>
        <v>304.32666666666665</v>
      </c>
      <c r="F13" s="37">
        <f t="shared" si="0"/>
        <v>1217.3066666666666</v>
      </c>
      <c r="G13" s="38">
        <v>1300</v>
      </c>
      <c r="H13" s="40">
        <v>1500</v>
      </c>
    </row>
    <row r="14" spans="1:9" x14ac:dyDescent="0.25">
      <c r="A14" s="17">
        <v>607</v>
      </c>
      <c r="B14" s="17" t="s">
        <v>44</v>
      </c>
      <c r="C14" s="34">
        <v>11441.66</v>
      </c>
      <c r="D14" s="35">
        <v>6556.64</v>
      </c>
      <c r="E14" s="36">
        <f t="shared" si="1"/>
        <v>2185.5466666666666</v>
      </c>
      <c r="F14" s="37">
        <f t="shared" si="0"/>
        <v>8742.1866666666665</v>
      </c>
      <c r="G14" s="38">
        <v>10500</v>
      </c>
      <c r="H14" s="40">
        <v>11000</v>
      </c>
      <c r="I14" s="18"/>
    </row>
    <row r="15" spans="1:9" x14ac:dyDescent="0.25">
      <c r="A15" s="17">
        <v>608</v>
      </c>
      <c r="B15" s="17" t="s">
        <v>45</v>
      </c>
      <c r="C15" s="34"/>
      <c r="D15" s="35"/>
      <c r="E15" s="36">
        <f t="shared" si="1"/>
        <v>0</v>
      </c>
      <c r="F15" s="37">
        <f t="shared" si="0"/>
        <v>0</v>
      </c>
      <c r="G15" s="38">
        <v>0</v>
      </c>
      <c r="H15" s="40">
        <v>0</v>
      </c>
    </row>
    <row r="16" spans="1:9" x14ac:dyDescent="0.25">
      <c r="A16" s="17">
        <v>610</v>
      </c>
      <c r="B16" s="17" t="s">
        <v>46</v>
      </c>
      <c r="C16" s="34">
        <v>510.99</v>
      </c>
      <c r="D16" s="35">
        <v>196</v>
      </c>
      <c r="E16" s="36">
        <f t="shared" si="1"/>
        <v>65.333333333333329</v>
      </c>
      <c r="F16" s="37">
        <f t="shared" si="0"/>
        <v>261.33333333333331</v>
      </c>
      <c r="G16" s="38">
        <v>1000</v>
      </c>
      <c r="H16" s="40">
        <v>1500</v>
      </c>
    </row>
    <row r="17" spans="1:9" x14ac:dyDescent="0.25">
      <c r="A17" s="17">
        <v>611</v>
      </c>
      <c r="B17" s="17" t="s">
        <v>47</v>
      </c>
      <c r="C17" s="34">
        <v>4542.3900000000003</v>
      </c>
      <c r="D17" s="35">
        <v>3640</v>
      </c>
      <c r="E17" s="41">
        <v>0</v>
      </c>
      <c r="F17" s="37">
        <f t="shared" si="0"/>
        <v>3640</v>
      </c>
      <c r="G17" s="38">
        <v>3000</v>
      </c>
      <c r="H17" s="40">
        <v>3000</v>
      </c>
    </row>
    <row r="18" spans="1:9" x14ac:dyDescent="0.25">
      <c r="A18" s="17">
        <v>612</v>
      </c>
      <c r="B18" s="17" t="s">
        <v>48</v>
      </c>
      <c r="C18" s="34">
        <v>8421.44</v>
      </c>
      <c r="D18" s="35">
        <v>7083.07</v>
      </c>
      <c r="E18" s="42">
        <v>0</v>
      </c>
      <c r="F18" s="37">
        <f t="shared" si="0"/>
        <v>7083.07</v>
      </c>
      <c r="G18" s="38">
        <v>3000</v>
      </c>
      <c r="H18" s="40">
        <v>10000</v>
      </c>
    </row>
    <row r="19" spans="1:9" ht="12.75" x14ac:dyDescent="0.2">
      <c r="B19" s="43" t="s">
        <v>49</v>
      </c>
      <c r="C19" s="34">
        <f>SUM(C7:C18)</f>
        <v>65388.62</v>
      </c>
      <c r="D19" s="44">
        <f>SUM(D7:D18)</f>
        <v>44540.61</v>
      </c>
      <c r="E19" s="45"/>
      <c r="F19" s="37">
        <f t="shared" ref="F19:H19" si="2">SUM(F7:F18)</f>
        <v>56396.456666666672</v>
      </c>
      <c r="G19" s="38">
        <v>57930</v>
      </c>
      <c r="H19" s="40">
        <f t="shared" si="2"/>
        <v>67916.375</v>
      </c>
    </row>
    <row r="20" spans="1:9" ht="12.75" x14ac:dyDescent="0.2">
      <c r="C20" s="34"/>
      <c r="D20" s="44"/>
      <c r="E20" s="42"/>
      <c r="F20" s="37"/>
      <c r="G20" s="38"/>
      <c r="H20" s="40"/>
    </row>
    <row r="21" spans="1:9" ht="12.75" x14ac:dyDescent="0.2">
      <c r="B21" s="33" t="s">
        <v>50</v>
      </c>
      <c r="C21" s="34"/>
      <c r="D21" s="44"/>
      <c r="E21" s="42"/>
      <c r="F21" s="37"/>
      <c r="G21" s="38"/>
      <c r="H21" s="40"/>
    </row>
    <row r="22" spans="1:9" ht="12.75" x14ac:dyDescent="0.2">
      <c r="A22" s="17">
        <v>621</v>
      </c>
      <c r="B22" s="17" t="s">
        <v>123</v>
      </c>
      <c r="C22" s="34">
        <v>77194.8</v>
      </c>
      <c r="D22" s="44">
        <v>0</v>
      </c>
      <c r="E22" s="47">
        <f>G22</f>
        <v>79937.25</v>
      </c>
      <c r="F22" s="37">
        <f t="shared" ref="F22:F24" si="3">SUM(D22:E22)</f>
        <v>79937.25</v>
      </c>
      <c r="G22" s="38">
        <v>79937.25</v>
      </c>
      <c r="H22" s="39">
        <f>0.795*100700</f>
        <v>80056.5</v>
      </c>
      <c r="I22" s="46" t="s">
        <v>130</v>
      </c>
    </row>
    <row r="23" spans="1:9" ht="12.75" x14ac:dyDescent="0.2">
      <c r="B23" s="17" t="s">
        <v>133</v>
      </c>
      <c r="C23" s="34">
        <v>4500</v>
      </c>
      <c r="D23" s="44">
        <v>4500</v>
      </c>
      <c r="E23" s="47">
        <v>0</v>
      </c>
      <c r="F23" s="37">
        <f t="shared" si="3"/>
        <v>4500</v>
      </c>
      <c r="G23" s="38">
        <v>4500</v>
      </c>
      <c r="H23" s="40">
        <v>4500</v>
      </c>
      <c r="I23" s="48"/>
    </row>
    <row r="24" spans="1:9" ht="12.75" x14ac:dyDescent="0.2">
      <c r="A24" s="17">
        <v>620</v>
      </c>
      <c r="B24" s="18" t="s">
        <v>120</v>
      </c>
      <c r="C24" s="34">
        <v>57826.15</v>
      </c>
      <c r="D24" s="44">
        <v>59034.720000000001</v>
      </c>
      <c r="E24" s="42">
        <v>0</v>
      </c>
      <c r="F24" s="37">
        <f t="shared" si="3"/>
        <v>59034.720000000001</v>
      </c>
      <c r="G24" s="38">
        <v>59500</v>
      </c>
      <c r="H24" s="39">
        <v>55200</v>
      </c>
    </row>
    <row r="25" spans="1:9" ht="12.75" x14ac:dyDescent="0.2">
      <c r="B25" s="43" t="s">
        <v>52</v>
      </c>
      <c r="C25" s="34">
        <f>SUM(C22:C24)</f>
        <v>139520.95000000001</v>
      </c>
      <c r="D25" s="44">
        <f>SUM(D22:D24)</f>
        <v>63534.720000000001</v>
      </c>
      <c r="E25" s="45"/>
      <c r="F25" s="37">
        <f>SUM(F22:F24)</f>
        <v>143471.97</v>
      </c>
      <c r="G25" s="49">
        <v>143937.25</v>
      </c>
      <c r="H25" s="50">
        <f t="shared" ref="H25" si="4">SUM(H22:H24)</f>
        <v>139756.5</v>
      </c>
    </row>
    <row r="26" spans="1:9" ht="12.75" x14ac:dyDescent="0.2">
      <c r="C26" s="34"/>
      <c r="D26" s="44"/>
      <c r="E26" s="42"/>
      <c r="F26" s="37"/>
      <c r="G26" s="38"/>
      <c r="H26" s="40"/>
    </row>
    <row r="27" spans="1:9" ht="12.75" x14ac:dyDescent="0.2">
      <c r="B27" s="33" t="s">
        <v>53</v>
      </c>
      <c r="C27" s="34"/>
      <c r="D27" s="44"/>
      <c r="E27" s="42"/>
      <c r="F27" s="37"/>
      <c r="G27" s="38"/>
      <c r="H27" s="40"/>
    </row>
    <row r="28" spans="1:9" ht="12.75" x14ac:dyDescent="0.2">
      <c r="A28" s="17">
        <v>630</v>
      </c>
      <c r="B28" s="17" t="s">
        <v>54</v>
      </c>
      <c r="C28" s="34">
        <v>5709.54</v>
      </c>
      <c r="D28" s="44">
        <v>5719.86</v>
      </c>
      <c r="E28" s="41"/>
      <c r="F28" s="37">
        <f t="shared" ref="F28" si="5">SUM(D28:E28)</f>
        <v>5719.86</v>
      </c>
      <c r="G28" s="38">
        <v>5700</v>
      </c>
      <c r="H28" s="40">
        <v>5700</v>
      </c>
    </row>
    <row r="29" spans="1:9" ht="12.75" x14ac:dyDescent="0.2">
      <c r="B29" s="17" t="s">
        <v>55</v>
      </c>
      <c r="C29" s="34"/>
      <c r="D29" s="44"/>
      <c r="E29" s="42"/>
      <c r="F29" s="37"/>
      <c r="G29" s="38"/>
      <c r="H29" s="40"/>
    </row>
    <row r="30" spans="1:9" ht="12.75" x14ac:dyDescent="0.2">
      <c r="B30" s="43" t="s">
        <v>56</v>
      </c>
      <c r="C30" s="34">
        <f>SUM(C28:C29)</f>
        <v>5709.54</v>
      </c>
      <c r="D30" s="44">
        <f>SUM(D28:D29)</f>
        <v>5719.86</v>
      </c>
      <c r="E30" s="45"/>
      <c r="F30" s="37">
        <f>SUM(F28:F29)</f>
        <v>5719.86</v>
      </c>
      <c r="G30" s="38">
        <v>5700</v>
      </c>
      <c r="H30" s="40">
        <f t="shared" ref="H30" si="6">SUM(H28:H29)</f>
        <v>5700</v>
      </c>
    </row>
    <row r="31" spans="1:9" ht="12.75" x14ac:dyDescent="0.2">
      <c r="C31" s="34"/>
      <c r="D31" s="44"/>
      <c r="E31" s="42"/>
      <c r="F31" s="37"/>
      <c r="G31" s="38"/>
      <c r="H31" s="40"/>
    </row>
    <row r="32" spans="1:9" ht="12.75" x14ac:dyDescent="0.2">
      <c r="B32" s="33" t="s">
        <v>57</v>
      </c>
      <c r="C32" s="34"/>
      <c r="D32" s="44"/>
      <c r="E32" s="42"/>
      <c r="F32" s="37"/>
      <c r="G32" s="38"/>
      <c r="H32" s="40"/>
    </row>
    <row r="33" spans="1:10" ht="12.75" x14ac:dyDescent="0.2">
      <c r="A33" s="17">
        <v>640</v>
      </c>
      <c r="B33" s="17" t="s">
        <v>58</v>
      </c>
      <c r="C33" s="34">
        <v>85077.74</v>
      </c>
      <c r="D33" s="44">
        <v>56933.34</v>
      </c>
      <c r="E33" s="36">
        <f>G33-D33</f>
        <v>28695.660000000003</v>
      </c>
      <c r="F33" s="37">
        <f t="shared" ref="F33:F46" si="7">SUM(D33:E33)</f>
        <v>85629</v>
      </c>
      <c r="G33" s="38">
        <v>85629</v>
      </c>
      <c r="H33" s="124">
        <v>87641</v>
      </c>
      <c r="I33" s="51"/>
    </row>
    <row r="34" spans="1:10" ht="12.75" x14ac:dyDescent="0.2">
      <c r="A34" s="17">
        <v>642</v>
      </c>
      <c r="B34" s="18" t="s">
        <v>59</v>
      </c>
      <c r="C34" s="34">
        <v>0</v>
      </c>
      <c r="D34" s="44">
        <v>751.95</v>
      </c>
      <c r="E34" s="36">
        <f t="shared" ref="E34" si="8">D34/3</f>
        <v>250.65</v>
      </c>
      <c r="F34" s="37">
        <f t="shared" si="7"/>
        <v>1002.6</v>
      </c>
      <c r="G34" s="38">
        <v>500</v>
      </c>
      <c r="H34" s="40">
        <v>500</v>
      </c>
    </row>
    <row r="35" spans="1:10" ht="12.75" x14ac:dyDescent="0.2">
      <c r="A35" s="17">
        <v>64205</v>
      </c>
      <c r="B35" s="18" t="s">
        <v>60</v>
      </c>
      <c r="C35" s="34">
        <v>39554.28</v>
      </c>
      <c r="D35" s="44">
        <v>29565.919999999998</v>
      </c>
      <c r="E35" s="36">
        <f>G35-D35</f>
        <v>12287.200000000004</v>
      </c>
      <c r="F35" s="37">
        <f t="shared" si="7"/>
        <v>41853.120000000003</v>
      </c>
      <c r="G35" s="38">
        <v>41853.120000000003</v>
      </c>
      <c r="H35" s="60">
        <f>12*(1822.82+1750.22)</f>
        <v>42876.479999999996</v>
      </c>
      <c r="I35" s="51"/>
      <c r="J35" s="17" t="s">
        <v>103</v>
      </c>
    </row>
    <row r="36" spans="1:10" ht="12.75" x14ac:dyDescent="0.2">
      <c r="A36" s="17">
        <v>614</v>
      </c>
      <c r="B36" s="18" t="s">
        <v>61</v>
      </c>
      <c r="C36" s="34">
        <v>5601.93</v>
      </c>
      <c r="D36" s="44">
        <v>3895.87</v>
      </c>
      <c r="E36" s="36">
        <f>G36-D36</f>
        <v>1926.902000000001</v>
      </c>
      <c r="F36" s="37">
        <f t="shared" si="7"/>
        <v>5822.7720000000008</v>
      </c>
      <c r="G36" s="49">
        <v>5822.7720000000008</v>
      </c>
      <c r="H36" s="50">
        <f>0.066*H33</f>
        <v>5784.3060000000005</v>
      </c>
      <c r="I36" s="18" t="s">
        <v>142</v>
      </c>
    </row>
    <row r="37" spans="1:10" ht="12.75" x14ac:dyDescent="0.2">
      <c r="A37" s="17">
        <v>643</v>
      </c>
      <c r="B37" s="18" t="s">
        <v>13</v>
      </c>
      <c r="C37" s="34"/>
      <c r="D37" s="44">
        <v>4010</v>
      </c>
      <c r="E37" s="41">
        <v>0</v>
      </c>
      <c r="F37" s="37">
        <f t="shared" si="7"/>
        <v>4010</v>
      </c>
      <c r="G37" s="38">
        <v>0</v>
      </c>
      <c r="H37" s="40">
        <v>4000</v>
      </c>
    </row>
    <row r="38" spans="1:10" ht="12.75" x14ac:dyDescent="0.2">
      <c r="A38" s="17">
        <v>644</v>
      </c>
      <c r="B38" s="18" t="s">
        <v>62</v>
      </c>
      <c r="C38" s="34">
        <v>88745.66</v>
      </c>
      <c r="D38" s="44">
        <v>103909.59</v>
      </c>
      <c r="E38" s="42">
        <v>0</v>
      </c>
      <c r="F38" s="37">
        <f t="shared" si="7"/>
        <v>103909.59</v>
      </c>
      <c r="G38" s="38">
        <v>105719</v>
      </c>
      <c r="H38" s="40">
        <f>105719+28544+7500</f>
        <v>141763</v>
      </c>
      <c r="I38" s="18"/>
    </row>
    <row r="39" spans="1:10" ht="12.75" x14ac:dyDescent="0.2">
      <c r="A39" s="17">
        <v>645</v>
      </c>
      <c r="B39" s="18" t="s">
        <v>63</v>
      </c>
      <c r="C39" s="34">
        <v>5915.2</v>
      </c>
      <c r="D39" s="44">
        <v>5593.34</v>
      </c>
      <c r="E39" s="36">
        <f t="shared" ref="E39:E40" si="9">D39/3</f>
        <v>1864.4466666666667</v>
      </c>
      <c r="F39" s="37">
        <f t="shared" si="7"/>
        <v>7457.7866666666669</v>
      </c>
      <c r="G39" s="38">
        <v>5000</v>
      </c>
      <c r="H39" s="40">
        <v>5000</v>
      </c>
    </row>
    <row r="40" spans="1:10" ht="12.75" x14ac:dyDescent="0.2">
      <c r="A40" s="17">
        <v>646</v>
      </c>
      <c r="B40" s="18" t="s">
        <v>64</v>
      </c>
      <c r="C40" s="34">
        <v>15475.77</v>
      </c>
      <c r="D40" s="44">
        <v>6099.56</v>
      </c>
      <c r="E40" s="36">
        <f t="shared" si="9"/>
        <v>2033.1866666666667</v>
      </c>
      <c r="F40" s="37">
        <f t="shared" si="7"/>
        <v>8132.7466666666669</v>
      </c>
      <c r="G40" s="38">
        <v>15000</v>
      </c>
      <c r="H40" s="40">
        <v>15000</v>
      </c>
    </row>
    <row r="41" spans="1:10" ht="12.75" x14ac:dyDescent="0.2">
      <c r="A41" s="17">
        <v>647</v>
      </c>
      <c r="B41" s="18" t="s">
        <v>65</v>
      </c>
      <c r="C41" s="34">
        <v>11878.21</v>
      </c>
      <c r="D41" s="44">
        <v>12465.72</v>
      </c>
      <c r="E41"/>
      <c r="F41" s="37">
        <f t="shared" si="7"/>
        <v>12465.72</v>
      </c>
      <c r="G41" s="38">
        <v>12000</v>
      </c>
      <c r="H41" s="40">
        <v>12000</v>
      </c>
      <c r="I41" s="18"/>
    </row>
    <row r="42" spans="1:10" ht="12.75" x14ac:dyDescent="0.2">
      <c r="A42" s="17">
        <v>648</v>
      </c>
      <c r="B42" s="18" t="s">
        <v>66</v>
      </c>
      <c r="C42" s="34"/>
      <c r="D42" s="44"/>
      <c r="E42" s="42">
        <v>0</v>
      </c>
      <c r="F42" s="37">
        <f t="shared" si="7"/>
        <v>0</v>
      </c>
      <c r="G42" s="38">
        <v>3000</v>
      </c>
      <c r="H42" s="40">
        <v>3000</v>
      </c>
    </row>
    <row r="43" spans="1:10" ht="12.75" x14ac:dyDescent="0.2">
      <c r="A43" s="17">
        <v>649</v>
      </c>
      <c r="B43" s="18" t="s">
        <v>146</v>
      </c>
      <c r="C43" s="34">
        <v>14504.38</v>
      </c>
      <c r="D43" s="44">
        <f>19799.96-9000</f>
        <v>10799.96</v>
      </c>
      <c r="E43" s="42">
        <v>2000</v>
      </c>
      <c r="F43" s="37">
        <f t="shared" si="7"/>
        <v>12799.96</v>
      </c>
      <c r="G43" s="38">
        <v>16000</v>
      </c>
      <c r="H43" s="60">
        <v>16000</v>
      </c>
      <c r="I43" s="18" t="s">
        <v>103</v>
      </c>
    </row>
    <row r="44" spans="1:10" ht="12.75" x14ac:dyDescent="0.2">
      <c r="A44" s="17">
        <v>650</v>
      </c>
      <c r="B44" s="18" t="s">
        <v>67</v>
      </c>
      <c r="C44" s="34">
        <v>2364.25</v>
      </c>
      <c r="D44" s="44">
        <v>1592.88</v>
      </c>
      <c r="E44" s="36">
        <f t="shared" ref="E44:E45" si="10">D44/3</f>
        <v>530.96</v>
      </c>
      <c r="F44" s="37">
        <f t="shared" si="7"/>
        <v>2123.84</v>
      </c>
      <c r="G44" s="38">
        <v>3500</v>
      </c>
      <c r="H44" s="40">
        <v>3500</v>
      </c>
    </row>
    <row r="45" spans="1:10" ht="12.75" x14ac:dyDescent="0.2">
      <c r="A45" s="17">
        <v>652</v>
      </c>
      <c r="B45" s="18" t="s">
        <v>68</v>
      </c>
      <c r="C45" s="34">
        <v>13223.9</v>
      </c>
      <c r="D45" s="44">
        <v>8077.76</v>
      </c>
      <c r="E45" s="36">
        <f t="shared" si="10"/>
        <v>2692.5866666666666</v>
      </c>
      <c r="F45" s="37">
        <f t="shared" si="7"/>
        <v>10770.346666666666</v>
      </c>
      <c r="G45" s="38">
        <v>13000</v>
      </c>
      <c r="H45" s="40">
        <v>13000</v>
      </c>
    </row>
    <row r="46" spans="1:10" ht="12.75" x14ac:dyDescent="0.2">
      <c r="A46" s="17">
        <v>655</v>
      </c>
      <c r="B46" s="18" t="s">
        <v>69</v>
      </c>
      <c r="C46" s="34">
        <v>223.16</v>
      </c>
      <c r="D46" s="44">
        <f>1095.64+9000</f>
        <v>10095.64</v>
      </c>
      <c r="E46" s="42">
        <v>168000</v>
      </c>
      <c r="F46" s="37">
        <f t="shared" si="7"/>
        <v>178095.64</v>
      </c>
      <c r="G46" s="38">
        <v>176375</v>
      </c>
      <c r="H46" s="39">
        <v>10000</v>
      </c>
      <c r="I46" s="52" t="s">
        <v>103</v>
      </c>
    </row>
    <row r="47" spans="1:10" ht="12.75" x14ac:dyDescent="0.2">
      <c r="B47" s="43" t="s">
        <v>70</v>
      </c>
      <c r="C47" s="34">
        <f>SUM(C33:C46)</f>
        <v>282564.47999999998</v>
      </c>
      <c r="D47" s="44">
        <f>SUM(D33:D46)</f>
        <v>253791.52999999997</v>
      </c>
      <c r="E47" s="45"/>
      <c r="F47" s="37">
        <f t="shared" ref="F47:H47" si="11">SUM(F33:F46)</f>
        <v>474073.12200000009</v>
      </c>
      <c r="G47" s="49">
        <v>483398.89199999999</v>
      </c>
      <c r="H47" s="50">
        <f t="shared" si="11"/>
        <v>360064.78599999996</v>
      </c>
      <c r="I47" s="48" t="s">
        <v>103</v>
      </c>
    </row>
    <row r="48" spans="1:10" ht="12.75" x14ac:dyDescent="0.2">
      <c r="C48" s="53"/>
      <c r="D48" s="54"/>
      <c r="E48" s="46"/>
      <c r="F48" s="55"/>
      <c r="G48" s="49"/>
      <c r="H48" s="50"/>
    </row>
    <row r="49" spans="1:9" ht="12.75" x14ac:dyDescent="0.2">
      <c r="B49" s="33" t="s">
        <v>71</v>
      </c>
      <c r="C49" s="34"/>
      <c r="D49" s="44"/>
      <c r="E49" s="42"/>
      <c r="F49" s="37"/>
      <c r="G49" s="38"/>
      <c r="H49" s="40"/>
    </row>
    <row r="50" spans="1:9" ht="12.75" x14ac:dyDescent="0.2">
      <c r="A50" s="17">
        <v>660</v>
      </c>
      <c r="B50" s="17" t="s">
        <v>72</v>
      </c>
      <c r="C50" s="34">
        <v>2320.9</v>
      </c>
      <c r="D50" s="44">
        <v>1046.8599999999999</v>
      </c>
      <c r="E50" s="42">
        <v>2000</v>
      </c>
      <c r="F50" s="37">
        <f t="shared" ref="F50:F51" si="12">SUM(D50:E50)</f>
        <v>3046.8599999999997</v>
      </c>
      <c r="G50" s="38">
        <v>2500</v>
      </c>
      <c r="H50" s="40">
        <v>2500</v>
      </c>
    </row>
    <row r="51" spans="1:9" ht="12.75" x14ac:dyDescent="0.2">
      <c r="A51" s="17">
        <v>661</v>
      </c>
      <c r="B51" s="18" t="s">
        <v>73</v>
      </c>
      <c r="C51" s="34">
        <v>250</v>
      </c>
      <c r="D51" s="44">
        <v>0</v>
      </c>
      <c r="E51" s="41"/>
      <c r="F51" s="37">
        <f t="shared" si="12"/>
        <v>0</v>
      </c>
      <c r="G51" s="38">
        <v>1000</v>
      </c>
      <c r="H51" s="40">
        <v>1000</v>
      </c>
    </row>
    <row r="52" spans="1:9" ht="12.75" x14ac:dyDescent="0.2">
      <c r="B52" s="33" t="s">
        <v>74</v>
      </c>
      <c r="C52" s="34">
        <f>SUM(C50:C51)</f>
        <v>2570.9</v>
      </c>
      <c r="D52" s="44">
        <f>SUM(D50:D51)</f>
        <v>1046.8599999999999</v>
      </c>
      <c r="E52" s="42"/>
      <c r="F52" s="37">
        <f t="shared" ref="F52:H52" si="13">SUM(F50:F51)</f>
        <v>3046.8599999999997</v>
      </c>
      <c r="G52" s="38">
        <v>3500</v>
      </c>
      <c r="H52" s="40">
        <f t="shared" si="13"/>
        <v>3500</v>
      </c>
    </row>
    <row r="53" spans="1:9" ht="12.75" x14ac:dyDescent="0.2">
      <c r="C53" s="34"/>
      <c r="D53" s="44"/>
      <c r="E53" s="42"/>
      <c r="F53" s="37"/>
      <c r="G53" s="38"/>
      <c r="H53" s="40"/>
    </row>
    <row r="54" spans="1:9" ht="12.75" x14ac:dyDescent="0.2">
      <c r="B54" s="33" t="s">
        <v>75</v>
      </c>
      <c r="C54" s="34"/>
      <c r="D54" s="44"/>
      <c r="E54" s="42"/>
      <c r="F54" s="37"/>
      <c r="G54" s="38"/>
      <c r="H54" s="40"/>
    </row>
    <row r="55" spans="1:9" ht="12.75" x14ac:dyDescent="0.2">
      <c r="A55" s="17">
        <v>665</v>
      </c>
      <c r="B55" s="17" t="s">
        <v>34</v>
      </c>
      <c r="C55" s="34">
        <v>43500.24</v>
      </c>
      <c r="D55" s="44">
        <v>23086.66</v>
      </c>
      <c r="E55" s="36">
        <f>D55*0.5</f>
        <v>11543.33</v>
      </c>
      <c r="F55" s="37">
        <f t="shared" ref="F55:F56" si="14">SUM(D55:E55)</f>
        <v>34629.99</v>
      </c>
      <c r="G55" s="38">
        <v>34243.199999999997</v>
      </c>
      <c r="H55" s="40">
        <f>3.48*12*805*1.02</f>
        <v>34289.135999999999</v>
      </c>
      <c r="I55" s="18" t="s">
        <v>145</v>
      </c>
    </row>
    <row r="56" spans="1:9" ht="12.75" x14ac:dyDescent="0.2">
      <c r="A56" s="17">
        <v>666</v>
      </c>
      <c r="B56" s="17" t="s">
        <v>76</v>
      </c>
      <c r="C56" s="34">
        <v>107719.8</v>
      </c>
      <c r="D56" s="44">
        <v>61271.199999999997</v>
      </c>
      <c r="E56" s="36">
        <f>D56*0.5</f>
        <v>30635.599999999999</v>
      </c>
      <c r="F56" s="37">
        <f t="shared" si="14"/>
        <v>91906.799999999988</v>
      </c>
      <c r="G56" s="38">
        <v>92003.999999999985</v>
      </c>
      <c r="H56" s="50">
        <f>9.35*12*805*1.02</f>
        <v>92127.419999999984</v>
      </c>
      <c r="I56" s="18" t="s">
        <v>145</v>
      </c>
    </row>
    <row r="57" spans="1:9" ht="12.75" x14ac:dyDescent="0.2">
      <c r="B57" s="56" t="s">
        <v>77</v>
      </c>
      <c r="C57" s="34">
        <f>SUM(C55:C56)</f>
        <v>151220.04</v>
      </c>
      <c r="D57" s="44">
        <f>SUM(D55:D56)</f>
        <v>84357.86</v>
      </c>
      <c r="E57" s="45"/>
      <c r="F57" s="37">
        <f t="shared" ref="F57" si="15">SUM(F55:F56)</f>
        <v>126536.78999999998</v>
      </c>
      <c r="G57" s="49">
        <v>126247.19999999998</v>
      </c>
      <c r="H57" s="50">
        <f>SUM(H55:H56)</f>
        <v>126416.55599999998</v>
      </c>
    </row>
    <row r="58" spans="1:9" ht="12.75" x14ac:dyDescent="0.2">
      <c r="C58" s="34"/>
      <c r="D58" s="44"/>
      <c r="E58" s="42"/>
      <c r="F58" s="37"/>
      <c r="G58" s="38"/>
      <c r="H58" s="40"/>
    </row>
    <row r="59" spans="1:9" ht="12.75" x14ac:dyDescent="0.2">
      <c r="B59" s="33" t="s">
        <v>78</v>
      </c>
      <c r="C59" s="34"/>
      <c r="D59" s="44"/>
      <c r="E59" s="42"/>
      <c r="F59" s="37"/>
      <c r="G59" s="38"/>
      <c r="H59" s="40"/>
    </row>
    <row r="60" spans="1:9" ht="12.75" x14ac:dyDescent="0.2">
      <c r="A60" s="17">
        <v>670</v>
      </c>
      <c r="B60" s="17" t="s">
        <v>79</v>
      </c>
      <c r="C60" s="34">
        <v>8153.08</v>
      </c>
      <c r="D60" s="44">
        <v>5690.48</v>
      </c>
      <c r="E60" s="36">
        <f t="shared" ref="E60:E63" si="16">D60/3</f>
        <v>1896.8266666666666</v>
      </c>
      <c r="F60" s="37">
        <f t="shared" ref="F60:F67" si="17">SUM(D60:E60)</f>
        <v>7587.3066666666664</v>
      </c>
      <c r="G60" s="38">
        <v>9000</v>
      </c>
      <c r="H60" s="40">
        <v>9000</v>
      </c>
    </row>
    <row r="61" spans="1:9" ht="12.75" x14ac:dyDescent="0.2">
      <c r="A61" s="17">
        <v>671</v>
      </c>
      <c r="B61" s="17" t="s">
        <v>80</v>
      </c>
      <c r="C61" s="34">
        <v>4835.96</v>
      </c>
      <c r="D61" s="44">
        <v>2726.66</v>
      </c>
      <c r="E61" s="36">
        <f t="shared" si="16"/>
        <v>908.88666666666666</v>
      </c>
      <c r="F61" s="37">
        <f t="shared" si="17"/>
        <v>3635.5466666666666</v>
      </c>
      <c r="G61" s="38">
        <v>2000</v>
      </c>
      <c r="H61" s="40">
        <v>2000</v>
      </c>
    </row>
    <row r="62" spans="1:9" ht="12.75" x14ac:dyDescent="0.2">
      <c r="A62" s="17">
        <v>672</v>
      </c>
      <c r="B62" s="17" t="s">
        <v>81</v>
      </c>
      <c r="C62" s="34">
        <v>2192.44</v>
      </c>
      <c r="D62" s="44">
        <v>2166.9499999999998</v>
      </c>
      <c r="E62" s="123">
        <f>2500+22000</f>
        <v>24500</v>
      </c>
      <c r="F62" s="37">
        <f t="shared" si="17"/>
        <v>26666.95</v>
      </c>
      <c r="G62" s="38">
        <v>10000</v>
      </c>
      <c r="H62" s="40">
        <v>10000</v>
      </c>
      <c r="I62" s="18" t="s">
        <v>103</v>
      </c>
    </row>
    <row r="63" spans="1:9" ht="12.75" x14ac:dyDescent="0.2">
      <c r="A63" s="17">
        <v>674</v>
      </c>
      <c r="B63" s="17" t="s">
        <v>82</v>
      </c>
      <c r="C63" s="34">
        <v>1642.38</v>
      </c>
      <c r="D63" s="44">
        <v>1120.3699999999999</v>
      </c>
      <c r="E63" s="36">
        <f t="shared" si="16"/>
        <v>373.45666666666665</v>
      </c>
      <c r="F63" s="37">
        <f t="shared" si="17"/>
        <v>1493.8266666666666</v>
      </c>
      <c r="G63" s="38">
        <v>1200</v>
      </c>
      <c r="H63" s="40">
        <v>1200</v>
      </c>
    </row>
    <row r="64" spans="1:9" ht="12.75" x14ac:dyDescent="0.2">
      <c r="A64" s="17">
        <v>675</v>
      </c>
      <c r="B64" s="17" t="s">
        <v>83</v>
      </c>
      <c r="C64" s="34">
        <v>2180</v>
      </c>
      <c r="D64" s="44"/>
      <c r="E64" s="42">
        <v>0</v>
      </c>
      <c r="F64" s="37">
        <f t="shared" si="17"/>
        <v>0</v>
      </c>
      <c r="G64" s="38">
        <v>2000</v>
      </c>
      <c r="H64" s="40">
        <v>2000</v>
      </c>
    </row>
    <row r="65" spans="1:9" ht="12.75" x14ac:dyDescent="0.2">
      <c r="A65" s="17">
        <v>680</v>
      </c>
      <c r="B65" s="17" t="s">
        <v>84</v>
      </c>
      <c r="C65" s="34">
        <v>9301</v>
      </c>
      <c r="D65" s="44">
        <v>7436</v>
      </c>
      <c r="E65" s="42">
        <v>0</v>
      </c>
      <c r="F65" s="37">
        <f t="shared" si="17"/>
        <v>7436</v>
      </c>
      <c r="G65" s="38">
        <v>10000</v>
      </c>
      <c r="H65" s="60">
        <v>10000</v>
      </c>
    </row>
    <row r="66" spans="1:9" ht="12.75" x14ac:dyDescent="0.2">
      <c r="A66" s="17">
        <v>683</v>
      </c>
      <c r="B66" s="17" t="s">
        <v>85</v>
      </c>
      <c r="C66" s="34">
        <v>3534</v>
      </c>
      <c r="D66" s="44">
        <v>4073</v>
      </c>
      <c r="E66" s="41"/>
      <c r="F66" s="37">
        <f t="shared" si="17"/>
        <v>4073</v>
      </c>
      <c r="G66" s="38">
        <v>4000</v>
      </c>
      <c r="H66" s="40">
        <v>4000</v>
      </c>
    </row>
    <row r="67" spans="1:9" ht="12.75" x14ac:dyDescent="0.2">
      <c r="A67" s="17">
        <v>690</v>
      </c>
      <c r="B67" s="17" t="s">
        <v>86</v>
      </c>
      <c r="C67" s="34">
        <v>9029.1</v>
      </c>
      <c r="D67" s="44">
        <v>6385.03</v>
      </c>
      <c r="E67" s="36">
        <f>G67-D67</f>
        <v>2738.2835000000005</v>
      </c>
      <c r="F67" s="37">
        <f t="shared" si="17"/>
        <v>9123.3135000000002</v>
      </c>
      <c r="G67" s="38">
        <v>9123.3135000000002</v>
      </c>
      <c r="H67" s="50">
        <f>0.0765*(H7+H10+H12+H33)</f>
        <v>9375.639187499999</v>
      </c>
      <c r="I67" s="57" t="s">
        <v>108</v>
      </c>
    </row>
    <row r="68" spans="1:9" ht="15.75" x14ac:dyDescent="0.25">
      <c r="B68" s="58" t="s">
        <v>87</v>
      </c>
      <c r="C68" s="53">
        <f>SUM(C60:C67)</f>
        <v>40867.96</v>
      </c>
      <c r="D68" s="54">
        <f>SUM(D60:D67)</f>
        <v>29598.489999999998</v>
      </c>
      <c r="E68" s="59"/>
      <c r="F68" s="55">
        <f t="shared" ref="F68:H68" si="18">SUM(F60:F67)</f>
        <v>60015.943499999994</v>
      </c>
      <c r="G68" s="49">
        <v>47323.313500000004</v>
      </c>
      <c r="H68" s="50">
        <f t="shared" si="18"/>
        <v>47575.639187499997</v>
      </c>
    </row>
    <row r="69" spans="1:9" ht="12.75" x14ac:dyDescent="0.2">
      <c r="C69" s="34"/>
      <c r="D69" s="44"/>
      <c r="E69" s="42"/>
      <c r="F69" s="37"/>
      <c r="G69" s="38"/>
      <c r="H69" s="40"/>
    </row>
    <row r="70" spans="1:9" ht="12.75" x14ac:dyDescent="0.2">
      <c r="B70" s="33" t="s">
        <v>88</v>
      </c>
      <c r="C70" s="34"/>
      <c r="D70" s="44"/>
      <c r="E70" s="42"/>
      <c r="F70" s="37"/>
      <c r="G70" s="38"/>
      <c r="H70" s="40"/>
    </row>
    <row r="71" spans="1:9" ht="12.75" x14ac:dyDescent="0.2">
      <c r="A71" s="17">
        <v>625</v>
      </c>
      <c r="B71" s="18" t="s">
        <v>89</v>
      </c>
      <c r="C71" s="34">
        <v>608.69000000000005</v>
      </c>
      <c r="D71" s="44"/>
      <c r="E71" s="42">
        <v>0</v>
      </c>
      <c r="F71" s="37">
        <f t="shared" ref="F71:F75" si="19">SUM(D71:E71)</f>
        <v>0</v>
      </c>
      <c r="G71" s="38">
        <v>0</v>
      </c>
      <c r="H71" s="40">
        <v>0</v>
      </c>
      <c r="I71" s="18" t="s">
        <v>103</v>
      </c>
    </row>
    <row r="72" spans="1:9" ht="12.75" x14ac:dyDescent="0.2">
      <c r="A72" s="17">
        <v>622</v>
      </c>
      <c r="B72" s="18" t="s">
        <v>51</v>
      </c>
      <c r="C72" s="34"/>
      <c r="D72" s="44"/>
      <c r="E72" s="41"/>
      <c r="F72" s="37">
        <f t="shared" si="19"/>
        <v>0</v>
      </c>
      <c r="G72" s="38">
        <v>0</v>
      </c>
      <c r="H72" s="60">
        <v>127989</v>
      </c>
    </row>
    <row r="73" spans="1:9" ht="12.75" x14ac:dyDescent="0.2">
      <c r="A73" s="17">
        <v>623</v>
      </c>
      <c r="B73" s="18" t="s">
        <v>143</v>
      </c>
      <c r="C73" s="34">
        <v>17246.580000000002</v>
      </c>
      <c r="D73" s="44">
        <v>17246.580000000002</v>
      </c>
      <c r="E73" s="41"/>
      <c r="F73" s="37">
        <f t="shared" si="19"/>
        <v>17246.580000000002</v>
      </c>
      <c r="G73" s="38">
        <v>17246.580000000002</v>
      </c>
      <c r="H73" s="40">
        <v>17247</v>
      </c>
    </row>
    <row r="74" spans="1:9" ht="12.75" x14ac:dyDescent="0.2">
      <c r="A74" s="17">
        <v>624</v>
      </c>
      <c r="B74" s="18" t="s">
        <v>127</v>
      </c>
      <c r="C74" s="34">
        <v>9978.2999999999993</v>
      </c>
      <c r="D74" s="44">
        <v>9978.6299999999992</v>
      </c>
      <c r="E74" s="41"/>
      <c r="F74" s="37">
        <f t="shared" si="19"/>
        <v>9978.6299999999992</v>
      </c>
      <c r="G74" s="38">
        <v>9978.6299999999992</v>
      </c>
      <c r="H74" s="61">
        <v>9978.6299999999992</v>
      </c>
    </row>
    <row r="75" spans="1:9" ht="12.75" x14ac:dyDescent="0.2">
      <c r="B75" s="18" t="s">
        <v>144</v>
      </c>
      <c r="C75" s="34"/>
      <c r="D75" s="44"/>
      <c r="E75" s="41">
        <v>0</v>
      </c>
      <c r="F75" s="37">
        <f t="shared" si="19"/>
        <v>0</v>
      </c>
      <c r="G75" s="38">
        <v>0</v>
      </c>
      <c r="H75" s="61">
        <v>19886.349999999999</v>
      </c>
    </row>
    <row r="76" spans="1:9" ht="12.75" x14ac:dyDescent="0.2">
      <c r="B76" s="43" t="s">
        <v>90</v>
      </c>
      <c r="C76" s="34">
        <f>SUM(C71:C74)</f>
        <v>27833.57</v>
      </c>
      <c r="D76" s="44">
        <f>SUM(D71:D74)</f>
        <v>27225.21</v>
      </c>
      <c r="E76" s="45"/>
      <c r="F76" s="37">
        <f>SUM(F71:F75)</f>
        <v>27225.21</v>
      </c>
      <c r="G76" s="62">
        <v>27225.21</v>
      </c>
      <c r="H76" s="40">
        <f>SUM(H71:H75)</f>
        <v>175100.98</v>
      </c>
    </row>
    <row r="77" spans="1:9" ht="12.75" x14ac:dyDescent="0.2">
      <c r="B77" s="33"/>
      <c r="C77" s="34"/>
      <c r="D77" s="44"/>
      <c r="E77" s="42"/>
      <c r="F77" s="37"/>
      <c r="G77" s="38"/>
      <c r="H77" s="40"/>
    </row>
    <row r="78" spans="1:9" ht="12.75" x14ac:dyDescent="0.2">
      <c r="B78" s="33" t="s">
        <v>91</v>
      </c>
      <c r="C78" s="34"/>
      <c r="D78" s="44"/>
      <c r="E78" s="42"/>
      <c r="F78" s="37"/>
      <c r="G78" s="38"/>
      <c r="H78" s="40"/>
    </row>
    <row r="79" spans="1:9" ht="12.75" x14ac:dyDescent="0.2">
      <c r="A79" s="17">
        <v>745</v>
      </c>
      <c r="B79" s="18" t="s">
        <v>92</v>
      </c>
      <c r="C79" s="34"/>
      <c r="D79" s="44"/>
      <c r="E79" s="42"/>
      <c r="F79" s="37">
        <f>SUM(D79:E79)</f>
        <v>0</v>
      </c>
      <c r="G79" s="38">
        <v>0</v>
      </c>
      <c r="H79" s="40">
        <v>2000</v>
      </c>
    </row>
    <row r="80" spans="1:9" ht="12.75" x14ac:dyDescent="0.2">
      <c r="A80" s="17">
        <v>746</v>
      </c>
      <c r="B80" s="18" t="s">
        <v>95</v>
      </c>
      <c r="C80" s="34">
        <v>1850</v>
      </c>
      <c r="D80" s="44">
        <v>0</v>
      </c>
      <c r="E80" s="42">
        <v>0</v>
      </c>
      <c r="F80" s="37">
        <f>SUM(D80:E80)</f>
        <v>0</v>
      </c>
      <c r="G80" s="38">
        <v>1000</v>
      </c>
      <c r="H80" s="40">
        <v>1000</v>
      </c>
    </row>
    <row r="81" spans="1:9" ht="12.75" x14ac:dyDescent="0.2">
      <c r="A81" s="17">
        <v>625</v>
      </c>
      <c r="B81" s="18" t="s">
        <v>131</v>
      </c>
      <c r="C81" s="34">
        <v>608.69000000000005</v>
      </c>
      <c r="D81" s="44">
        <v>13328.05</v>
      </c>
      <c r="E81" s="42">
        <v>1000</v>
      </c>
      <c r="F81" s="37">
        <f t="shared" ref="F81" si="20">SUM(D81:E81)</f>
        <v>14328.05</v>
      </c>
      <c r="G81" s="38">
        <v>20000</v>
      </c>
      <c r="H81" s="40">
        <v>0</v>
      </c>
      <c r="I81" s="18" t="s">
        <v>103</v>
      </c>
    </row>
    <row r="82" spans="1:9" ht="12.75" x14ac:dyDescent="0.2">
      <c r="B82" s="18"/>
      <c r="C82" s="34"/>
      <c r="D82" s="44"/>
      <c r="E82" s="42"/>
      <c r="F82" s="37">
        <f>SUM(D82:E82)</f>
        <v>0</v>
      </c>
      <c r="G82" s="38">
        <v>0</v>
      </c>
      <c r="H82" s="50">
        <v>0</v>
      </c>
    </row>
    <row r="83" spans="1:9" ht="12.75" x14ac:dyDescent="0.2">
      <c r="B83" s="43" t="s">
        <v>93</v>
      </c>
      <c r="C83" s="34">
        <f>SUM(C79:C82)</f>
        <v>2458.69</v>
      </c>
      <c r="D83" s="44">
        <f>SUM(D79:D82)</f>
        <v>13328.05</v>
      </c>
      <c r="E83" s="44">
        <v>1000</v>
      </c>
      <c r="F83" s="37">
        <f>SUM(F79:F82)</f>
        <v>14328.05</v>
      </c>
      <c r="G83" s="38">
        <v>21000</v>
      </c>
      <c r="H83" s="40">
        <f>SUM(H79:H82)</f>
        <v>3000</v>
      </c>
    </row>
    <row r="84" spans="1:9" ht="12.75" x14ac:dyDescent="0.2">
      <c r="B84" s="125"/>
      <c r="C84" s="34"/>
      <c r="D84" s="44"/>
      <c r="E84" s="44"/>
      <c r="F84" s="37"/>
      <c r="G84" s="38"/>
      <c r="H84" s="40"/>
    </row>
    <row r="85" spans="1:9" ht="12.75" x14ac:dyDescent="0.2">
      <c r="B85" s="126" t="s">
        <v>151</v>
      </c>
      <c r="C85" s="34"/>
      <c r="D85" s="44"/>
      <c r="E85" s="44"/>
      <c r="F85" s="37"/>
      <c r="G85" s="38"/>
      <c r="H85" s="40"/>
    </row>
    <row r="86" spans="1:9" ht="12.75" x14ac:dyDescent="0.2">
      <c r="A86" s="17">
        <v>720</v>
      </c>
      <c r="B86" s="1" t="s">
        <v>152</v>
      </c>
      <c r="C86" s="34"/>
      <c r="D86" s="44"/>
      <c r="E86" s="46"/>
      <c r="F86" s="37"/>
      <c r="G86" s="38"/>
      <c r="H86" s="40">
        <f>12*2090+12178</f>
        <v>37258</v>
      </c>
    </row>
    <row r="87" spans="1:9" ht="12.75" x14ac:dyDescent="0.2">
      <c r="A87" s="12">
        <v>754</v>
      </c>
      <c r="B87" s="19" t="s">
        <v>124</v>
      </c>
      <c r="C87" s="34"/>
      <c r="D87" s="44">
        <v>0</v>
      </c>
      <c r="E87" s="45"/>
      <c r="F87" s="37"/>
      <c r="G87" s="38">
        <v>0</v>
      </c>
      <c r="H87" s="40">
        <v>0</v>
      </c>
    </row>
    <row r="88" spans="1:9" ht="12.75" x14ac:dyDescent="0.2">
      <c r="A88" s="17">
        <v>775</v>
      </c>
      <c r="B88" s="18" t="s">
        <v>106</v>
      </c>
      <c r="C88" s="34">
        <v>425</v>
      </c>
      <c r="D88" s="44">
        <v>300</v>
      </c>
      <c r="E88" s="42">
        <v>0</v>
      </c>
      <c r="F88" s="37">
        <f>SUM(D88:E88)</f>
        <v>300</v>
      </c>
      <c r="G88" s="38">
        <v>0</v>
      </c>
      <c r="H88" s="40">
        <v>0</v>
      </c>
    </row>
    <row r="89" spans="1:9" ht="12.75" x14ac:dyDescent="0.2">
      <c r="A89" s="17">
        <v>890</v>
      </c>
      <c r="B89" s="18" t="s">
        <v>55</v>
      </c>
      <c r="C89" s="34">
        <v>17.5</v>
      </c>
      <c r="D89" s="44">
        <v>340.34</v>
      </c>
      <c r="E89" s="42">
        <v>0</v>
      </c>
      <c r="F89" s="37">
        <f>SUM(D89:E89)</f>
        <v>340.34</v>
      </c>
      <c r="G89" s="38">
        <v>0</v>
      </c>
      <c r="H89" s="40">
        <v>0</v>
      </c>
    </row>
    <row r="90" spans="1:9" ht="12.75" x14ac:dyDescent="0.2">
      <c r="B90" s="63" t="s">
        <v>107</v>
      </c>
      <c r="C90" s="34">
        <f>SUM(C87:C89)</f>
        <v>442.5</v>
      </c>
      <c r="D90" s="44">
        <f>SUM(D87:D89)</f>
        <v>640.33999999999992</v>
      </c>
      <c r="E90" s="45"/>
      <c r="F90" s="37">
        <f>SUM(D90:E90)</f>
        <v>640.33999999999992</v>
      </c>
      <c r="G90" s="38">
        <v>0</v>
      </c>
      <c r="H90" s="40">
        <f>SUM(H86:H89)</f>
        <v>37258</v>
      </c>
    </row>
    <row r="91" spans="1:9" ht="12.75" x14ac:dyDescent="0.2">
      <c r="B91" s="64"/>
      <c r="C91" s="34"/>
      <c r="D91" s="44"/>
      <c r="E91" s="44"/>
      <c r="F91" s="37"/>
      <c r="G91" s="38"/>
      <c r="H91" s="40"/>
    </row>
    <row r="92" spans="1:9" ht="12.75" x14ac:dyDescent="0.2">
      <c r="B92" s="65" t="s">
        <v>94</v>
      </c>
      <c r="C92" s="34">
        <f>SUM(C7:C90)/2</f>
        <v>718577.25</v>
      </c>
      <c r="D92" s="44">
        <f>SUM(D7:D90)/2</f>
        <v>523783.52999999991</v>
      </c>
      <c r="E92" s="66">
        <f>SUM(E7:E90)/2</f>
        <v>194335.53608333331</v>
      </c>
      <c r="F92" s="55">
        <f>SUM(F7:F90)/2</f>
        <v>911454.60216666677</v>
      </c>
      <c r="G92" s="38">
        <v>916261.86549999984</v>
      </c>
      <c r="H92" s="40">
        <f>SUM(H7:H90)/2</f>
        <v>966288.83618750004</v>
      </c>
    </row>
    <row r="93" spans="1:9" x14ac:dyDescent="0.25">
      <c r="G93" s="12"/>
    </row>
    <row r="94" spans="1:9" x14ac:dyDescent="0.25">
      <c r="G94" s="17"/>
    </row>
    <row r="95" spans="1:9" x14ac:dyDescent="0.25">
      <c r="C95" s="19" t="s">
        <v>103</v>
      </c>
      <c r="G95" s="12"/>
    </row>
    <row r="96" spans="1:9" x14ac:dyDescent="0.25">
      <c r="G96" s="54"/>
    </row>
    <row r="97" spans="5:6" x14ac:dyDescent="0.25">
      <c r="E97" s="18"/>
      <c r="F97" s="67"/>
    </row>
  </sheetData>
  <phoneticPr fontId="0" type="noConversion"/>
  <printOptions gridLines="1"/>
  <pageMargins left="0.5" right="0.5" top="0.25" bottom="0.25" header="0" footer="0"/>
  <pageSetup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J12" sqref="J12"/>
    </sheetView>
  </sheetViews>
  <sheetFormatPr defaultRowHeight="12.75" x14ac:dyDescent="0.2"/>
  <cols>
    <col min="1" max="1" width="28.28515625" customWidth="1"/>
    <col min="2" max="2" width="16" customWidth="1"/>
    <col min="3" max="3" width="14.42578125" customWidth="1"/>
    <col min="4" max="4" width="14.7109375" customWidth="1"/>
    <col min="5" max="5" width="12.7109375" customWidth="1"/>
    <col min="6" max="6" width="10.28515625" customWidth="1"/>
  </cols>
  <sheetData>
    <row r="1" spans="1:6" ht="18" x14ac:dyDescent="0.25">
      <c r="A1" s="127">
        <f>Revenues!A1</f>
        <v>2018</v>
      </c>
      <c r="B1" s="128" t="s">
        <v>153</v>
      </c>
    </row>
    <row r="2" spans="1:6" ht="15.75" x14ac:dyDescent="0.25">
      <c r="A2" s="10" t="str">
        <f>Revenues!B1</f>
        <v>Board Approved</v>
      </c>
      <c r="B2" s="129"/>
      <c r="D2" s="5"/>
    </row>
    <row r="3" spans="1:6" x14ac:dyDescent="0.2">
      <c r="A3" s="2"/>
      <c r="B3" s="5"/>
      <c r="D3" s="5"/>
    </row>
    <row r="4" spans="1:6" x14ac:dyDescent="0.2">
      <c r="A4" s="2">
        <f>A1</f>
        <v>2018</v>
      </c>
      <c r="B4" s="7" t="s">
        <v>154</v>
      </c>
      <c r="D4" s="130" t="s">
        <v>155</v>
      </c>
      <c r="E4" s="183">
        <v>512888</v>
      </c>
      <c r="F4" s="150" t="s">
        <v>103</v>
      </c>
    </row>
    <row r="5" spans="1:6" x14ac:dyDescent="0.2">
      <c r="A5" s="1" t="s">
        <v>156</v>
      </c>
      <c r="B5" s="131">
        <v>200297200</v>
      </c>
      <c r="C5" s="132" t="s">
        <v>103</v>
      </c>
      <c r="D5" s="133" t="s">
        <v>157</v>
      </c>
      <c r="E5" s="134">
        <f>B12</f>
        <v>538989.385671</v>
      </c>
    </row>
    <row r="6" spans="1:6" x14ac:dyDescent="0.2">
      <c r="A6" s="1" t="s">
        <v>158</v>
      </c>
      <c r="B6" s="135">
        <f>Revenues!I6</f>
        <v>0.01</v>
      </c>
      <c r="D6" s="133" t="s">
        <v>159</v>
      </c>
      <c r="E6" s="136">
        <f>E5-E4</f>
        <v>26101.385670999996</v>
      </c>
    </row>
    <row r="7" spans="1:6" x14ac:dyDescent="0.2">
      <c r="A7" s="1" t="s">
        <v>160</v>
      </c>
      <c r="B7" s="137">
        <f>Revenues!H6</f>
        <v>538989.385671</v>
      </c>
      <c r="C7" t="s">
        <v>103</v>
      </c>
      <c r="D7" s="133" t="s">
        <v>161</v>
      </c>
      <c r="E7" s="138">
        <f>E6/E4</f>
        <v>5.0891004802218018E-2</v>
      </c>
    </row>
    <row r="8" spans="1:6" x14ac:dyDescent="0.2">
      <c r="A8" s="139" t="s">
        <v>162</v>
      </c>
      <c r="B8" s="140">
        <f>B7/B5*1000</f>
        <v>2.6909481793604701</v>
      </c>
      <c r="E8" s="3"/>
    </row>
    <row r="9" spans="1:6" x14ac:dyDescent="0.2">
      <c r="A9" s="141" t="s">
        <v>163</v>
      </c>
      <c r="B9" s="142">
        <v>2.6685124571585161</v>
      </c>
      <c r="E9" s="3"/>
    </row>
    <row r="10" spans="1:6" x14ac:dyDescent="0.2">
      <c r="A10" s="1"/>
      <c r="B10" s="143"/>
      <c r="E10" s="3"/>
    </row>
    <row r="11" spans="1:6" x14ac:dyDescent="0.2">
      <c r="A11" s="144">
        <f>A1</f>
        <v>2018</v>
      </c>
    </row>
    <row r="12" spans="1:6" x14ac:dyDescent="0.2">
      <c r="A12" s="133" t="s">
        <v>164</v>
      </c>
      <c r="B12" s="145">
        <f>B7</f>
        <v>538989.385671</v>
      </c>
      <c r="D12" s="3"/>
    </row>
    <row r="13" spans="1:6" x14ac:dyDescent="0.2">
      <c r="A13" s="146" t="s">
        <v>165</v>
      </c>
      <c r="B13" s="145">
        <f>Revenues!H59</f>
        <v>427131.9</v>
      </c>
      <c r="D13" s="3"/>
    </row>
    <row r="14" spans="1:6" x14ac:dyDescent="0.2">
      <c r="A14" s="133" t="s">
        <v>166</v>
      </c>
      <c r="B14" s="147">
        <f>SUM(B12:B13)</f>
        <v>966121.28567100002</v>
      </c>
      <c r="D14" s="3"/>
    </row>
    <row r="15" spans="1:6" x14ac:dyDescent="0.2">
      <c r="A15" s="146" t="s">
        <v>167</v>
      </c>
      <c r="B15" s="147">
        <f>Expenditures!H92</f>
        <v>966288.83618750004</v>
      </c>
      <c r="D15" s="3"/>
    </row>
    <row r="16" spans="1:6" x14ac:dyDescent="0.2">
      <c r="A16" s="130" t="s">
        <v>168</v>
      </c>
      <c r="B16" s="148">
        <f>B15-B14</f>
        <v>167.55051650002133</v>
      </c>
      <c r="D16" s="3"/>
    </row>
    <row r="17" spans="1:6" x14ac:dyDescent="0.2">
      <c r="A17" s="2"/>
      <c r="B17" s="148"/>
      <c r="D17" s="3"/>
    </row>
    <row r="18" spans="1:6" x14ac:dyDescent="0.2">
      <c r="A18" s="133" t="s">
        <v>169</v>
      </c>
      <c r="B18" s="149" t="s">
        <v>170</v>
      </c>
      <c r="C18" s="150"/>
      <c r="D18" s="151" t="s">
        <v>171</v>
      </c>
    </row>
    <row r="19" spans="1:6" x14ac:dyDescent="0.2">
      <c r="A19" s="130" t="s">
        <v>172</v>
      </c>
      <c r="B19" s="152" t="s">
        <v>173</v>
      </c>
      <c r="D19" s="153" t="s">
        <v>174</v>
      </c>
    </row>
    <row r="20" spans="1:6" x14ac:dyDescent="0.2">
      <c r="A20" s="130" t="s">
        <v>175</v>
      </c>
      <c r="B20" s="152" t="s">
        <v>176</v>
      </c>
    </row>
    <row r="21" spans="1:6" x14ac:dyDescent="0.2">
      <c r="A21" s="130" t="s">
        <v>177</v>
      </c>
      <c r="B21" s="152" t="s">
        <v>178</v>
      </c>
      <c r="D21" s="3"/>
    </row>
    <row r="22" spans="1:6" x14ac:dyDescent="0.2">
      <c r="A22" s="130"/>
      <c r="B22" s="152"/>
      <c r="D22" s="3"/>
      <c r="E22" s="9" t="s">
        <v>179</v>
      </c>
      <c r="F22" s="154" t="s">
        <v>180</v>
      </c>
    </row>
    <row r="23" spans="1:6" x14ac:dyDescent="0.2">
      <c r="A23" s="2"/>
      <c r="B23" s="7"/>
      <c r="C23" s="9" t="s">
        <v>181</v>
      </c>
      <c r="D23" s="153" t="s">
        <v>103</v>
      </c>
      <c r="E23" s="9" t="s">
        <v>182</v>
      </c>
      <c r="F23" s="154" t="s">
        <v>183</v>
      </c>
    </row>
    <row r="24" spans="1:6" x14ac:dyDescent="0.2">
      <c r="A24" s="2" t="s">
        <v>184</v>
      </c>
      <c r="B24" s="5"/>
      <c r="C24" s="9" t="s">
        <v>185</v>
      </c>
      <c r="D24" s="155" t="s">
        <v>186</v>
      </c>
      <c r="E24" s="9" t="s">
        <v>187</v>
      </c>
      <c r="F24" s="154" t="s">
        <v>188</v>
      </c>
    </row>
    <row r="25" spans="1:6" x14ac:dyDescent="0.2">
      <c r="A25" s="133" t="s">
        <v>189</v>
      </c>
      <c r="B25" s="156">
        <f>Revenues!G6</f>
        <v>533652.85710000002</v>
      </c>
      <c r="C25" s="157">
        <v>0</v>
      </c>
      <c r="D25" s="158">
        <f>B25/($B$5/1000)</f>
        <v>2.6643051280796737</v>
      </c>
      <c r="E25" s="159">
        <f>100*(D25-$B$9)</f>
        <v>-0.420732907884247</v>
      </c>
      <c r="F25" s="160">
        <f>D25/$B$9-1</f>
        <v>-1.5766570875680452E-3</v>
      </c>
    </row>
    <row r="26" spans="1:6" x14ac:dyDescent="0.2">
      <c r="A26" s="133" t="s">
        <v>190</v>
      </c>
      <c r="B26" s="161">
        <f>1.01*B25</f>
        <v>538989.385671</v>
      </c>
      <c r="C26" s="162">
        <f>B26-B25</f>
        <v>5336.5285709999735</v>
      </c>
      <c r="D26" s="158">
        <f>B26/($B$5/1000)</f>
        <v>2.6909481793604701</v>
      </c>
      <c r="E26" s="159">
        <f t="shared" ref="E26:E28" si="0">100*(D26-$B$9)</f>
        <v>2.2435722201954</v>
      </c>
      <c r="F26" s="163">
        <f>D26/$B$9-1</f>
        <v>8.407576341556311E-3</v>
      </c>
    </row>
    <row r="27" spans="1:6" x14ac:dyDescent="0.2">
      <c r="A27" s="133" t="s">
        <v>221</v>
      </c>
      <c r="B27" s="161">
        <f>1.02*B25</f>
        <v>544325.91424200009</v>
      </c>
      <c r="C27" s="162">
        <f>B27-B25</f>
        <v>10673.057142000063</v>
      </c>
      <c r="D27" s="158">
        <f>B27/($B$5/1000)</f>
        <v>2.7175912306412675</v>
      </c>
      <c r="E27" s="159">
        <f t="shared" si="0"/>
        <v>4.9078773482751359</v>
      </c>
      <c r="F27" s="163">
        <f>D27/$B$9-1</f>
        <v>1.8391809770680778E-2</v>
      </c>
    </row>
    <row r="28" spans="1:6" x14ac:dyDescent="0.2">
      <c r="A28" s="171" t="s">
        <v>191</v>
      </c>
      <c r="B28" s="173">
        <f>1.03*B25</f>
        <v>549662.44281300006</v>
      </c>
      <c r="C28" s="174">
        <f>B28-B25</f>
        <v>16009.585713000037</v>
      </c>
      <c r="D28" s="175">
        <f>B28/($B$5/1000)</f>
        <v>2.744234281922064</v>
      </c>
      <c r="E28" s="176">
        <f t="shared" si="0"/>
        <v>7.5721824763547829</v>
      </c>
      <c r="F28" s="177">
        <f>D28/$B$9-1</f>
        <v>2.8376043199805023E-2</v>
      </c>
    </row>
    <row r="29" spans="1:6" x14ac:dyDescent="0.2">
      <c r="A29" s="1"/>
      <c r="B29" s="164"/>
      <c r="D29" s="165"/>
    </row>
    <row r="30" spans="1:6" x14ac:dyDescent="0.2">
      <c r="A30" s="150"/>
      <c r="B30" s="166" t="s">
        <v>192</v>
      </c>
      <c r="C30" s="9" t="s">
        <v>193</v>
      </c>
      <c r="D30" s="167" t="s">
        <v>194</v>
      </c>
      <c r="E30" s="167" t="s">
        <v>195</v>
      </c>
    </row>
    <row r="31" spans="1:6" x14ac:dyDescent="0.2">
      <c r="A31" s="168" t="s">
        <v>196</v>
      </c>
      <c r="B31" s="169">
        <f>B25+B13</f>
        <v>960784.75710000005</v>
      </c>
      <c r="C31" s="172">
        <f>$B$31+C26</f>
        <v>966121.28567100002</v>
      </c>
      <c r="D31" s="170">
        <f>$B$31+C27</f>
        <v>971457.81424200011</v>
      </c>
      <c r="E31" s="170">
        <f>$B$31+C28</f>
        <v>976794.34281300008</v>
      </c>
    </row>
    <row r="32" spans="1:6" x14ac:dyDescent="0.2">
      <c r="A32" s="168" t="s">
        <v>167</v>
      </c>
      <c r="B32" s="170">
        <f>B15</f>
        <v>966288.83618750004</v>
      </c>
      <c r="C32" s="172">
        <f>B32</f>
        <v>966288.83618750004</v>
      </c>
      <c r="D32" s="170">
        <f>C32</f>
        <v>966288.83618750004</v>
      </c>
      <c r="E32" s="170">
        <f>D32</f>
        <v>966288.83618750004</v>
      </c>
    </row>
    <row r="33" spans="1:5" x14ac:dyDescent="0.2">
      <c r="A33" s="171" t="s">
        <v>197</v>
      </c>
      <c r="B33" s="170">
        <f>B31-B32</f>
        <v>-5504.0790874999948</v>
      </c>
      <c r="C33" s="172">
        <f>C31-C32</f>
        <v>-167.55051650002133</v>
      </c>
      <c r="D33" s="170">
        <f>D31-D32</f>
        <v>5168.9780545000685</v>
      </c>
      <c r="E33" s="170">
        <f>E31-E32</f>
        <v>10505.506625500042</v>
      </c>
    </row>
    <row r="34" spans="1:5" x14ac:dyDescent="0.2">
      <c r="A34" s="168" t="s">
        <v>198</v>
      </c>
      <c r="B34" s="170">
        <f>-B33</f>
        <v>5504.0790874999948</v>
      </c>
      <c r="C34" s="172">
        <f>-C33</f>
        <v>167.55051650002133</v>
      </c>
      <c r="D34" s="170">
        <f>-D33</f>
        <v>-5168.9780545000685</v>
      </c>
      <c r="E34" s="170">
        <f>-E33</f>
        <v>-10505.506625500042</v>
      </c>
    </row>
    <row r="35" spans="1:5" x14ac:dyDescent="0.2">
      <c r="A35" s="171" t="s">
        <v>206</v>
      </c>
      <c r="B35" s="170">
        <v>0</v>
      </c>
      <c r="C35" s="172">
        <f>B35</f>
        <v>0</v>
      </c>
      <c r="D35" s="170">
        <f t="shared" ref="D35:E35" si="1">C35</f>
        <v>0</v>
      </c>
      <c r="E35" s="170">
        <f t="shared" si="1"/>
        <v>0</v>
      </c>
    </row>
    <row r="36" spans="1:5" x14ac:dyDescent="0.2">
      <c r="A36" s="171" t="s">
        <v>199</v>
      </c>
      <c r="B36" s="192">
        <f>B34-B35</f>
        <v>5504.0790874999948</v>
      </c>
      <c r="C36" s="172">
        <f t="shared" ref="C36:E36" si="2">C34-C35</f>
        <v>167.55051650002133</v>
      </c>
      <c r="D36" s="192">
        <f t="shared" si="2"/>
        <v>-5168.9780545000685</v>
      </c>
      <c r="E36" s="192">
        <f t="shared" si="2"/>
        <v>-10505.506625500042</v>
      </c>
    </row>
    <row r="37" spans="1:5" x14ac:dyDescent="0.2">
      <c r="B37" s="5"/>
      <c r="D37" s="3"/>
    </row>
    <row r="38" spans="1:5" x14ac:dyDescent="0.2">
      <c r="A38" s="2" t="s">
        <v>200</v>
      </c>
      <c r="B38" s="5"/>
      <c r="D38" s="3"/>
    </row>
    <row r="39" spans="1:5" x14ac:dyDescent="0.2">
      <c r="A39" s="133" t="s">
        <v>201</v>
      </c>
    </row>
    <row r="40" spans="1:5" x14ac:dyDescent="0.2">
      <c r="A40" s="133" t="s">
        <v>202</v>
      </c>
    </row>
    <row r="41" spans="1:5" x14ac:dyDescent="0.2">
      <c r="A41" s="133" t="s">
        <v>203</v>
      </c>
    </row>
    <row r="42" spans="1:5" x14ac:dyDescent="0.2">
      <c r="A42" s="133" t="s">
        <v>204</v>
      </c>
    </row>
    <row r="43" spans="1:5" x14ac:dyDescent="0.2">
      <c r="A43" s="133" t="s">
        <v>205</v>
      </c>
      <c r="C43" s="162">
        <f>SUM(C39:C42)</f>
        <v>0</v>
      </c>
      <c r="D43" s="162">
        <f>SUM(D39:D42)</f>
        <v>0</v>
      </c>
      <c r="E43" s="162">
        <f>SUM(E39:E42)</f>
        <v>0</v>
      </c>
    </row>
    <row r="44" spans="1:5" x14ac:dyDescent="0.2">
      <c r="A44" s="171"/>
      <c r="C44" s="172"/>
      <c r="D44" s="172"/>
      <c r="E44" s="172"/>
    </row>
    <row r="45" spans="1:5" x14ac:dyDescent="0.2">
      <c r="C45" s="162"/>
      <c r="D45" s="162"/>
      <c r="E45" s="162"/>
    </row>
    <row r="46" spans="1:5" x14ac:dyDescent="0.2">
      <c r="C46" s="162"/>
      <c r="D46" s="162"/>
      <c r="E46" s="162"/>
    </row>
    <row r="47" spans="1:5" x14ac:dyDescent="0.2">
      <c r="D47" s="162"/>
    </row>
  </sheetData>
  <printOptions gridLines="1"/>
  <pageMargins left="0.7" right="0.7" top="0.75" bottom="0.75" header="0.3" footer="0.3"/>
  <pageSetup scale="8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N29" sqref="N29"/>
    </sheetView>
  </sheetViews>
  <sheetFormatPr defaultRowHeight="12.75" x14ac:dyDescent="0.2"/>
  <cols>
    <col min="1" max="1" width="11.42578125" customWidth="1"/>
    <col min="2" max="2" width="36.5703125" customWidth="1"/>
    <col min="3" max="3" width="8" customWidth="1"/>
    <col min="4" max="4" width="11.28515625" customWidth="1"/>
    <col min="5" max="6" width="10.140625" bestFit="1" customWidth="1"/>
  </cols>
  <sheetData>
    <row r="1" spans="1:5" ht="18" x14ac:dyDescent="0.25">
      <c r="A1" s="10">
        <v>2018</v>
      </c>
      <c r="B1" s="4" t="s">
        <v>114</v>
      </c>
      <c r="C1" s="4"/>
    </row>
    <row r="2" spans="1:5" ht="18" x14ac:dyDescent="0.25">
      <c r="B2" s="4" t="s">
        <v>115</v>
      </c>
      <c r="C2" s="4"/>
    </row>
    <row r="3" spans="1:5" x14ac:dyDescent="0.2">
      <c r="E3" s="9">
        <v>2018</v>
      </c>
    </row>
    <row r="4" spans="1:5" x14ac:dyDescent="0.2">
      <c r="A4" s="2" t="s">
        <v>116</v>
      </c>
      <c r="B4" s="5"/>
      <c r="D4" s="3"/>
      <c r="E4" s="9" t="s">
        <v>140</v>
      </c>
    </row>
    <row r="5" spans="1:5" x14ac:dyDescent="0.2">
      <c r="B5" s="6"/>
      <c r="D5" s="3"/>
      <c r="E5" s="3"/>
    </row>
    <row r="6" spans="1:5" x14ac:dyDescent="0.2">
      <c r="B6" s="6" t="s">
        <v>117</v>
      </c>
      <c r="C6">
        <v>3</v>
      </c>
      <c r="D6" s="3">
        <v>10000</v>
      </c>
      <c r="E6" s="3"/>
    </row>
    <row r="7" spans="1:5" x14ac:dyDescent="0.2">
      <c r="B7" s="7" t="s">
        <v>118</v>
      </c>
      <c r="C7" s="2"/>
      <c r="D7" s="8">
        <f>SUM(D5:D6)</f>
        <v>10000</v>
      </c>
      <c r="E7" s="8">
        <f>SUM(E5:E6)</f>
        <v>0</v>
      </c>
    </row>
    <row r="8" spans="1:5" x14ac:dyDescent="0.2">
      <c r="B8" s="7"/>
      <c r="C8" s="2"/>
      <c r="D8" s="8"/>
    </row>
    <row r="9" spans="1:5" x14ac:dyDescent="0.2">
      <c r="B9" s="7"/>
      <c r="C9" s="2"/>
      <c r="D9" s="8"/>
    </row>
    <row r="11" spans="1:5" x14ac:dyDescent="0.2">
      <c r="A11" s="2" t="s">
        <v>119</v>
      </c>
      <c r="C11" s="1" t="s">
        <v>122</v>
      </c>
      <c r="E11" s="1" t="s">
        <v>103</v>
      </c>
    </row>
    <row r="12" spans="1:5" x14ac:dyDescent="0.2">
      <c r="B12" s="6"/>
      <c r="D12" s="3"/>
    </row>
    <row r="13" spans="1:5" x14ac:dyDescent="0.2">
      <c r="B13" s="6" t="s">
        <v>134</v>
      </c>
      <c r="D13" s="3">
        <v>4500</v>
      </c>
    </row>
    <row r="14" spans="1:5" x14ac:dyDescent="0.2">
      <c r="B14" s="6" t="s">
        <v>135</v>
      </c>
      <c r="D14" s="3">
        <v>90000</v>
      </c>
    </row>
    <row r="15" spans="1:5" x14ac:dyDescent="0.2">
      <c r="B15" s="6" t="s">
        <v>138</v>
      </c>
      <c r="D15" s="3">
        <v>12000</v>
      </c>
    </row>
    <row r="16" spans="1:5" x14ac:dyDescent="0.2">
      <c r="B16" s="6" t="s">
        <v>136</v>
      </c>
      <c r="D16" s="3">
        <v>7000</v>
      </c>
    </row>
    <row r="17" spans="2:5" x14ac:dyDescent="0.2">
      <c r="B17" s="6" t="s">
        <v>139</v>
      </c>
      <c r="D17" s="3">
        <v>165000</v>
      </c>
    </row>
    <row r="18" spans="2:5" x14ac:dyDescent="0.2">
      <c r="B18" s="6" t="s">
        <v>121</v>
      </c>
      <c r="D18" s="3">
        <v>1900</v>
      </c>
    </row>
    <row r="19" spans="2:5" x14ac:dyDescent="0.2">
      <c r="B19" s="6" t="s">
        <v>137</v>
      </c>
      <c r="D19" s="3">
        <v>5500</v>
      </c>
    </row>
    <row r="20" spans="2:5" x14ac:dyDescent="0.2">
      <c r="B20" s="7" t="s">
        <v>118</v>
      </c>
      <c r="C20" s="2"/>
      <c r="D20" s="8">
        <f>SUM(D13:D18)</f>
        <v>280400</v>
      </c>
      <c r="E20" s="8">
        <f>SUM(E13:E18)</f>
        <v>0</v>
      </c>
    </row>
    <row r="21" spans="2:5" x14ac:dyDescent="0.2">
      <c r="B21" s="7"/>
      <c r="C21" s="2"/>
      <c r="D21" s="8"/>
    </row>
    <row r="22" spans="2:5" x14ac:dyDescent="0.2">
      <c r="B22" s="6"/>
      <c r="D22" s="3"/>
    </row>
    <row r="23" spans="2:5" x14ac:dyDescent="0.2">
      <c r="B23" s="6"/>
      <c r="D23" s="3"/>
    </row>
    <row r="24" spans="2:5" x14ac:dyDescent="0.2">
      <c r="B24" s="7"/>
      <c r="C24" s="2"/>
      <c r="D24" s="8"/>
    </row>
    <row r="25" spans="2:5" x14ac:dyDescent="0.2">
      <c r="B25" s="7"/>
      <c r="C25" s="2"/>
      <c r="D25" s="8"/>
    </row>
    <row r="36" spans="2:5" x14ac:dyDescent="0.2">
      <c r="B36" s="6"/>
      <c r="D36" s="3"/>
      <c r="E36" s="3"/>
    </row>
    <row r="37" spans="2:5" x14ac:dyDescent="0.2">
      <c r="B37" s="6"/>
      <c r="D37" s="3"/>
      <c r="E37" s="3"/>
    </row>
    <row r="38" spans="2:5" x14ac:dyDescent="0.2">
      <c r="B38" s="6"/>
      <c r="D38" s="3"/>
      <c r="E38" s="3"/>
    </row>
  </sheetData>
  <sortState ref="B5:E6">
    <sortCondition ref="C5:C6"/>
  </sortState>
  <printOptions gridLine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B61" sqref="B61"/>
    </sheetView>
  </sheetViews>
  <sheetFormatPr defaultRowHeight="12.75" x14ac:dyDescent="0.2"/>
  <cols>
    <col min="2" max="2" width="34.5703125" customWidth="1"/>
    <col min="3" max="3" width="15.5703125" customWidth="1"/>
    <col min="4" max="4" width="14.140625" customWidth="1"/>
    <col min="5" max="5" width="12.5703125" style="150" customWidth="1"/>
  </cols>
  <sheetData>
    <row r="1" spans="1:6" ht="15" x14ac:dyDescent="0.25">
      <c r="A1" s="68">
        <v>2018</v>
      </c>
      <c r="B1" s="68" t="str">
        <f>Revenues!B1</f>
        <v>Board Approved</v>
      </c>
      <c r="C1" s="69"/>
      <c r="D1" s="70" t="s">
        <v>222</v>
      </c>
      <c r="E1" s="70"/>
      <c r="F1" s="70"/>
    </row>
    <row r="2" spans="1:6" ht="15.75" x14ac:dyDescent="0.25">
      <c r="D2" s="180" t="s">
        <v>196</v>
      </c>
    </row>
    <row r="4" spans="1:6" x14ac:dyDescent="0.2">
      <c r="C4" s="9">
        <f>A1-1</f>
        <v>2017</v>
      </c>
      <c r="D4" s="9">
        <f>C4</f>
        <v>2017</v>
      </c>
      <c r="E4" s="76">
        <v>2018</v>
      </c>
      <c r="F4" s="9" t="s">
        <v>186</v>
      </c>
    </row>
    <row r="5" spans="1:6" x14ac:dyDescent="0.2">
      <c r="A5" t="s">
        <v>1</v>
      </c>
      <c r="B5" t="s">
        <v>2</v>
      </c>
      <c r="C5" s="9" t="s">
        <v>111</v>
      </c>
      <c r="D5" s="9" t="s">
        <v>102</v>
      </c>
      <c r="E5" s="76" t="s">
        <v>102</v>
      </c>
      <c r="F5" s="9" t="s">
        <v>126</v>
      </c>
    </row>
    <row r="6" spans="1:6" x14ac:dyDescent="0.2">
      <c r="B6" t="s">
        <v>3</v>
      </c>
      <c r="E6" s="83"/>
    </row>
    <row r="7" spans="1:6" x14ac:dyDescent="0.2">
      <c r="A7">
        <v>410</v>
      </c>
      <c r="B7" t="s">
        <v>4</v>
      </c>
      <c r="C7" s="162">
        <v>533652.85710000002</v>
      </c>
      <c r="D7" s="162">
        <v>533652.85710000002</v>
      </c>
      <c r="E7" s="188">
        <v>538989.385671</v>
      </c>
      <c r="F7" s="178">
        <v>0.01</v>
      </c>
    </row>
    <row r="8" spans="1:6" x14ac:dyDescent="0.2">
      <c r="A8">
        <v>412</v>
      </c>
      <c r="B8" t="s">
        <v>5</v>
      </c>
      <c r="C8" s="162">
        <v>1635.53</v>
      </c>
      <c r="D8" s="162">
        <v>450</v>
      </c>
      <c r="E8" s="188">
        <v>450</v>
      </c>
    </row>
    <row r="9" spans="1:6" x14ac:dyDescent="0.2">
      <c r="A9">
        <v>416</v>
      </c>
      <c r="B9" t="s">
        <v>6</v>
      </c>
      <c r="C9" s="162">
        <v>0</v>
      </c>
      <c r="D9" s="162">
        <v>0</v>
      </c>
      <c r="E9" s="188">
        <v>0</v>
      </c>
    </row>
    <row r="10" spans="1:6" x14ac:dyDescent="0.2">
      <c r="A10">
        <v>417</v>
      </c>
      <c r="B10" t="s">
        <v>7</v>
      </c>
      <c r="C10" s="162">
        <v>13805.07</v>
      </c>
      <c r="D10" s="162">
        <v>27000</v>
      </c>
      <c r="E10" s="188">
        <v>48216</v>
      </c>
    </row>
    <row r="11" spans="1:6" x14ac:dyDescent="0.2">
      <c r="A11">
        <v>419</v>
      </c>
      <c r="B11" t="s">
        <v>8</v>
      </c>
      <c r="C11" s="162">
        <v>21682.61</v>
      </c>
      <c r="D11" s="162">
        <v>6800</v>
      </c>
      <c r="E11" s="188">
        <v>34750</v>
      </c>
    </row>
    <row r="12" spans="1:6" x14ac:dyDescent="0.2">
      <c r="B12" t="s">
        <v>207</v>
      </c>
      <c r="C12" s="162">
        <v>570776.06709999999</v>
      </c>
      <c r="D12" s="162">
        <v>567902.85710000002</v>
      </c>
      <c r="E12" s="188">
        <v>622405.385671</v>
      </c>
    </row>
    <row r="13" spans="1:6" x14ac:dyDescent="0.2">
      <c r="C13" s="162"/>
      <c r="D13" s="162"/>
      <c r="E13" s="188"/>
    </row>
    <row r="14" spans="1:6" x14ac:dyDescent="0.2">
      <c r="B14" t="s">
        <v>9</v>
      </c>
      <c r="C14" s="162"/>
      <c r="D14" s="162"/>
      <c r="E14" s="188"/>
    </row>
    <row r="15" spans="1:6" x14ac:dyDescent="0.2">
      <c r="A15">
        <v>420</v>
      </c>
      <c r="B15" t="s">
        <v>10</v>
      </c>
      <c r="C15" s="162">
        <v>7545.44</v>
      </c>
      <c r="D15" s="162">
        <v>6800</v>
      </c>
      <c r="E15" s="188">
        <v>7500</v>
      </c>
    </row>
    <row r="16" spans="1:6" x14ac:dyDescent="0.2">
      <c r="A16">
        <v>421</v>
      </c>
      <c r="B16" t="s">
        <v>105</v>
      </c>
      <c r="C16" s="162">
        <v>2424.34</v>
      </c>
      <c r="D16" s="162">
        <v>0</v>
      </c>
      <c r="E16" s="188">
        <v>0</v>
      </c>
    </row>
    <row r="17" spans="1:5" x14ac:dyDescent="0.2">
      <c r="A17">
        <v>422</v>
      </c>
      <c r="B17" t="s">
        <v>11</v>
      </c>
      <c r="C17" s="162">
        <v>46034</v>
      </c>
      <c r="D17" s="162">
        <v>46034</v>
      </c>
      <c r="E17" s="189">
        <v>46034</v>
      </c>
    </row>
    <row r="18" spans="1:5" x14ac:dyDescent="0.2">
      <c r="A18">
        <v>426</v>
      </c>
      <c r="B18" t="s">
        <v>12</v>
      </c>
      <c r="C18" s="162">
        <v>88300</v>
      </c>
      <c r="D18" s="162">
        <v>88300</v>
      </c>
      <c r="E18" s="188">
        <v>95798.9</v>
      </c>
    </row>
    <row r="19" spans="1:5" x14ac:dyDescent="0.2">
      <c r="C19" s="162">
        <v>0</v>
      </c>
      <c r="D19" s="162"/>
      <c r="E19" s="188"/>
    </row>
    <row r="20" spans="1:5" x14ac:dyDescent="0.2">
      <c r="A20">
        <v>429</v>
      </c>
      <c r="B20" t="s">
        <v>14</v>
      </c>
      <c r="C20" s="162">
        <v>1400.06</v>
      </c>
      <c r="D20" s="162">
        <v>2400</v>
      </c>
      <c r="E20" s="188">
        <v>2400</v>
      </c>
    </row>
    <row r="21" spans="1:5" x14ac:dyDescent="0.2">
      <c r="B21" t="s">
        <v>208</v>
      </c>
      <c r="C21" s="162">
        <v>145703.84</v>
      </c>
      <c r="D21" s="162">
        <v>143534</v>
      </c>
      <c r="E21" s="189">
        <v>151732.9</v>
      </c>
    </row>
    <row r="22" spans="1:5" x14ac:dyDescent="0.2">
      <c r="C22" s="162"/>
      <c r="D22" s="162"/>
      <c r="E22" s="188"/>
    </row>
    <row r="23" spans="1:5" x14ac:dyDescent="0.2">
      <c r="B23" t="s">
        <v>15</v>
      </c>
      <c r="C23" s="162"/>
      <c r="D23" s="162"/>
      <c r="E23" s="188"/>
    </row>
    <row r="24" spans="1:5" x14ac:dyDescent="0.2">
      <c r="A24">
        <v>442</v>
      </c>
      <c r="B24" t="s">
        <v>16</v>
      </c>
      <c r="C24" s="162">
        <v>1375</v>
      </c>
      <c r="D24" s="162">
        <v>1000</v>
      </c>
      <c r="E24" s="188">
        <v>1000</v>
      </c>
    </row>
    <row r="25" spans="1:5" x14ac:dyDescent="0.2">
      <c r="A25">
        <v>443</v>
      </c>
      <c r="B25" t="s">
        <v>17</v>
      </c>
      <c r="C25" s="162">
        <v>112.1</v>
      </c>
      <c r="D25" s="162">
        <v>150</v>
      </c>
      <c r="E25" s="188">
        <v>150</v>
      </c>
    </row>
    <row r="26" spans="1:5" x14ac:dyDescent="0.2">
      <c r="A26">
        <v>444</v>
      </c>
      <c r="B26" t="s">
        <v>18</v>
      </c>
      <c r="C26" s="162">
        <v>210</v>
      </c>
      <c r="D26" s="162">
        <v>100</v>
      </c>
      <c r="E26" s="188">
        <v>100</v>
      </c>
    </row>
    <row r="27" spans="1:5" x14ac:dyDescent="0.2">
      <c r="A27">
        <v>445</v>
      </c>
      <c r="B27" t="s">
        <v>19</v>
      </c>
      <c r="C27" s="162">
        <v>0</v>
      </c>
      <c r="D27" s="162">
        <v>0</v>
      </c>
      <c r="E27" s="188">
        <v>0</v>
      </c>
    </row>
    <row r="28" spans="1:5" x14ac:dyDescent="0.2">
      <c r="A28">
        <v>446</v>
      </c>
      <c r="B28" t="s">
        <v>20</v>
      </c>
      <c r="C28" s="162">
        <v>2657.66</v>
      </c>
      <c r="D28" s="162">
        <v>1300</v>
      </c>
      <c r="E28" s="188">
        <v>1300</v>
      </c>
    </row>
    <row r="29" spans="1:5" x14ac:dyDescent="0.2">
      <c r="A29">
        <v>458</v>
      </c>
      <c r="B29" t="s">
        <v>26</v>
      </c>
      <c r="C29" s="162">
        <v>11043.453333333333</v>
      </c>
      <c r="D29" s="162">
        <v>10000</v>
      </c>
      <c r="E29" s="188">
        <v>11000</v>
      </c>
    </row>
    <row r="30" spans="1:5" x14ac:dyDescent="0.2">
      <c r="B30" t="s">
        <v>209</v>
      </c>
      <c r="C30" s="162">
        <v>15398.213333333333</v>
      </c>
      <c r="D30" s="162">
        <v>12550</v>
      </c>
      <c r="E30" s="189">
        <v>13550</v>
      </c>
    </row>
    <row r="31" spans="1:5" x14ac:dyDescent="0.2">
      <c r="C31" s="162"/>
      <c r="D31" s="162"/>
      <c r="E31" s="188"/>
    </row>
    <row r="32" spans="1:5" x14ac:dyDescent="0.2">
      <c r="B32" t="s">
        <v>22</v>
      </c>
      <c r="C32" s="162"/>
      <c r="D32" s="162"/>
      <c r="E32" s="188"/>
    </row>
    <row r="33" spans="1:5" x14ac:dyDescent="0.2">
      <c r="A33">
        <v>451</v>
      </c>
      <c r="B33" t="s">
        <v>23</v>
      </c>
      <c r="C33" s="162">
        <v>225</v>
      </c>
      <c r="D33" s="162">
        <v>100</v>
      </c>
      <c r="E33" s="188">
        <v>100</v>
      </c>
    </row>
    <row r="34" spans="1:5" x14ac:dyDescent="0.2">
      <c r="A34">
        <v>452</v>
      </c>
      <c r="B34" t="s">
        <v>129</v>
      </c>
      <c r="C34" s="162">
        <v>560</v>
      </c>
      <c r="D34" s="162">
        <v>250</v>
      </c>
      <c r="E34" s="188">
        <v>250</v>
      </c>
    </row>
    <row r="35" spans="1:5" x14ac:dyDescent="0.2">
      <c r="A35">
        <v>453</v>
      </c>
      <c r="B35" t="s">
        <v>24</v>
      </c>
      <c r="C35" s="162">
        <v>0</v>
      </c>
      <c r="D35" s="162">
        <v>0</v>
      </c>
      <c r="E35" s="188">
        <v>0</v>
      </c>
    </row>
    <row r="36" spans="1:5" x14ac:dyDescent="0.2">
      <c r="A36">
        <v>454</v>
      </c>
      <c r="B36" t="s">
        <v>25</v>
      </c>
      <c r="C36" s="162">
        <v>900</v>
      </c>
      <c r="D36" s="162">
        <v>2000</v>
      </c>
      <c r="E36" s="188">
        <v>2000</v>
      </c>
    </row>
    <row r="37" spans="1:5" x14ac:dyDescent="0.2">
      <c r="B37" t="s">
        <v>210</v>
      </c>
      <c r="C37" s="162">
        <v>1685</v>
      </c>
      <c r="D37" s="162">
        <v>2350</v>
      </c>
      <c r="E37" s="189">
        <v>2350</v>
      </c>
    </row>
    <row r="38" spans="1:5" x14ac:dyDescent="0.2">
      <c r="C38" s="162"/>
      <c r="D38" s="162"/>
      <c r="E38" s="189"/>
    </row>
    <row r="39" spans="1:5" x14ac:dyDescent="0.2">
      <c r="C39" s="162"/>
      <c r="D39" s="162"/>
      <c r="E39" s="188"/>
    </row>
    <row r="40" spans="1:5" x14ac:dyDescent="0.2">
      <c r="B40" t="s">
        <v>28</v>
      </c>
      <c r="C40" s="162"/>
      <c r="D40" s="162"/>
      <c r="E40" s="188"/>
    </row>
    <row r="41" spans="1:5" x14ac:dyDescent="0.2">
      <c r="A41">
        <v>460</v>
      </c>
      <c r="B41" t="s">
        <v>29</v>
      </c>
      <c r="C41" s="162">
        <v>869.01333333333332</v>
      </c>
      <c r="D41" s="162">
        <v>1500</v>
      </c>
      <c r="E41" s="188">
        <v>1500</v>
      </c>
    </row>
    <row r="42" spans="1:5" x14ac:dyDescent="0.2">
      <c r="A42">
        <v>461</v>
      </c>
      <c r="B42" t="s">
        <v>30</v>
      </c>
      <c r="C42" s="162">
        <v>144.21333333333334</v>
      </c>
      <c r="D42" s="162">
        <v>300</v>
      </c>
      <c r="E42" s="188">
        <v>300</v>
      </c>
    </row>
    <row r="43" spans="1:5" x14ac:dyDescent="0.2">
      <c r="A43">
        <v>462</v>
      </c>
      <c r="B43" t="s">
        <v>31</v>
      </c>
      <c r="C43" s="162">
        <v>415.03999999999996</v>
      </c>
      <c r="D43" s="162">
        <v>450</v>
      </c>
      <c r="E43" s="188">
        <v>450</v>
      </c>
    </row>
    <row r="44" spans="1:5" x14ac:dyDescent="0.2">
      <c r="A44">
        <v>463</v>
      </c>
      <c r="B44" t="s">
        <v>96</v>
      </c>
      <c r="C44" s="162">
        <v>3057</v>
      </c>
      <c r="D44" s="162">
        <v>2500</v>
      </c>
      <c r="E44" s="188">
        <v>2500</v>
      </c>
    </row>
    <row r="45" spans="1:5" x14ac:dyDescent="0.2">
      <c r="B45" t="s">
        <v>32</v>
      </c>
      <c r="C45" s="162">
        <v>4485.2666666666664</v>
      </c>
      <c r="D45" s="162">
        <v>4750</v>
      </c>
      <c r="E45" s="188">
        <v>4750</v>
      </c>
    </row>
    <row r="46" spans="1:5" x14ac:dyDescent="0.2">
      <c r="C46" s="162"/>
      <c r="D46" s="162"/>
      <c r="E46" s="188"/>
    </row>
    <row r="47" spans="1:5" x14ac:dyDescent="0.2">
      <c r="C47" s="162"/>
      <c r="D47" s="162"/>
      <c r="E47" s="189"/>
    </row>
    <row r="48" spans="1:5" x14ac:dyDescent="0.2">
      <c r="C48" s="162"/>
      <c r="D48" s="162"/>
      <c r="E48" s="189"/>
    </row>
    <row r="49" spans="1:5" x14ac:dyDescent="0.2">
      <c r="B49" t="s">
        <v>33</v>
      </c>
      <c r="C49" s="162"/>
      <c r="D49" s="162"/>
      <c r="E49" s="188"/>
    </row>
    <row r="50" spans="1:5" x14ac:dyDescent="0.2">
      <c r="A50">
        <v>457</v>
      </c>
      <c r="B50" t="s">
        <v>211</v>
      </c>
      <c r="C50" s="162">
        <v>800</v>
      </c>
      <c r="D50" s="162">
        <v>800</v>
      </c>
      <c r="E50" s="188">
        <v>800</v>
      </c>
    </row>
    <row r="51" spans="1:5" x14ac:dyDescent="0.2">
      <c r="A51">
        <v>464</v>
      </c>
      <c r="B51" t="s">
        <v>34</v>
      </c>
      <c r="C51" s="162">
        <v>7380.201</v>
      </c>
      <c r="D51" s="162">
        <v>7000</v>
      </c>
      <c r="E51" s="188">
        <v>7000</v>
      </c>
    </row>
    <row r="52" spans="1:5" x14ac:dyDescent="0.2">
      <c r="A52">
        <v>455</v>
      </c>
      <c r="B52" t="s">
        <v>212</v>
      </c>
      <c r="C52" s="162">
        <v>1862.48</v>
      </c>
      <c r="D52" s="162">
        <v>1000</v>
      </c>
      <c r="E52" s="188">
        <v>29544</v>
      </c>
    </row>
    <row r="53" spans="1:5" x14ac:dyDescent="0.2">
      <c r="A53">
        <v>466</v>
      </c>
      <c r="B53" t="s">
        <v>35</v>
      </c>
      <c r="C53" s="162">
        <v>0</v>
      </c>
      <c r="D53" s="162">
        <v>0</v>
      </c>
      <c r="E53" s="188">
        <v>5000</v>
      </c>
    </row>
    <row r="54" spans="1:5" x14ac:dyDescent="0.2">
      <c r="B54" t="s">
        <v>213</v>
      </c>
      <c r="C54" s="162">
        <v>168000</v>
      </c>
      <c r="D54" s="162">
        <v>175375</v>
      </c>
      <c r="E54" s="188">
        <v>127989</v>
      </c>
    </row>
    <row r="55" spans="1:5" x14ac:dyDescent="0.2">
      <c r="B55" t="s">
        <v>128</v>
      </c>
      <c r="C55" s="162">
        <v>0</v>
      </c>
      <c r="D55" s="162">
        <v>1000</v>
      </c>
      <c r="E55" s="188">
        <v>1000</v>
      </c>
    </row>
    <row r="56" spans="1:5" x14ac:dyDescent="0.2">
      <c r="B56" t="s">
        <v>36</v>
      </c>
      <c r="C56" s="162">
        <v>177242.68100000001</v>
      </c>
      <c r="D56" s="162">
        <v>185175</v>
      </c>
      <c r="E56" s="189">
        <v>171333</v>
      </c>
    </row>
    <row r="57" spans="1:5" x14ac:dyDescent="0.2">
      <c r="C57" s="162"/>
      <c r="D57" s="162"/>
      <c r="E57" s="188"/>
    </row>
    <row r="58" spans="1:5" x14ac:dyDescent="0.2">
      <c r="C58" s="162"/>
      <c r="D58" s="162"/>
      <c r="E58" s="188"/>
    </row>
    <row r="59" spans="1:5" x14ac:dyDescent="0.2">
      <c r="B59" t="s">
        <v>224</v>
      </c>
      <c r="C59" s="162">
        <v>915691.06810000015</v>
      </c>
      <c r="D59" s="162">
        <v>916261.85710000002</v>
      </c>
      <c r="E59" s="189">
        <v>966121.2856709999</v>
      </c>
    </row>
    <row r="60" spans="1:5" x14ac:dyDescent="0.2">
      <c r="B60" t="s">
        <v>226</v>
      </c>
      <c r="E60" s="191">
        <v>168</v>
      </c>
    </row>
    <row r="61" spans="1:5" x14ac:dyDescent="0.2">
      <c r="B61" t="s">
        <v>225</v>
      </c>
      <c r="E61" s="188">
        <f>SUM(E59:E60)</f>
        <v>966289.2856709999</v>
      </c>
    </row>
    <row r="62" spans="1:5" x14ac:dyDescent="0.2">
      <c r="E62" s="88"/>
    </row>
    <row r="63" spans="1:5" x14ac:dyDescent="0.2">
      <c r="E63" s="184"/>
    </row>
    <row r="64" spans="1:5" x14ac:dyDescent="0.2">
      <c r="E64" s="185"/>
    </row>
    <row r="65" spans="5:5" x14ac:dyDescent="0.2">
      <c r="E65" s="186"/>
    </row>
  </sheetData>
  <printOptions gridLines="1"/>
  <pageMargins left="0.7" right="0.7" top="0.75" bottom="0.75" header="0.3" footer="0.3"/>
  <pageSetup scale="8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opLeftCell="A62" workbookViewId="0">
      <selection activeCell="C97" sqref="C97"/>
    </sheetView>
  </sheetViews>
  <sheetFormatPr defaultRowHeight="12.75" x14ac:dyDescent="0.2"/>
  <cols>
    <col min="2" max="2" width="41.42578125" customWidth="1"/>
    <col min="3" max="3" width="13" customWidth="1"/>
    <col min="4" max="4" width="14.5703125" customWidth="1"/>
    <col min="5" max="5" width="15.42578125" style="132" customWidth="1"/>
  </cols>
  <sheetData>
    <row r="1" spans="1:5" ht="15.75" x14ac:dyDescent="0.25">
      <c r="A1" s="10">
        <v>2018</v>
      </c>
      <c r="B1" s="193" t="str">
        <f>Revenues!B1</f>
        <v>Board Approved</v>
      </c>
      <c r="C1" s="179" t="s">
        <v>222</v>
      </c>
      <c r="D1" s="180"/>
      <c r="E1" s="15"/>
    </row>
    <row r="2" spans="1:5" ht="15.75" x14ac:dyDescent="0.25">
      <c r="C2" s="180" t="s">
        <v>223</v>
      </c>
    </row>
    <row r="3" spans="1:5" x14ac:dyDescent="0.2">
      <c r="C3" s="9">
        <f>A1-1</f>
        <v>2017</v>
      </c>
      <c r="D3" s="9">
        <f>C3</f>
        <v>2017</v>
      </c>
      <c r="E3" s="194">
        <f>D3+1</f>
        <v>2018</v>
      </c>
    </row>
    <row r="4" spans="1:5" x14ac:dyDescent="0.2">
      <c r="C4" s="9" t="s">
        <v>104</v>
      </c>
      <c r="D4" s="9" t="s">
        <v>102</v>
      </c>
      <c r="E4" s="194" t="s">
        <v>102</v>
      </c>
    </row>
    <row r="5" spans="1:5" x14ac:dyDescent="0.2">
      <c r="A5" s="2" t="s">
        <v>40</v>
      </c>
      <c r="B5" s="2" t="s">
        <v>2</v>
      </c>
    </row>
    <row r="6" spans="1:5" x14ac:dyDescent="0.2">
      <c r="B6" t="s">
        <v>41</v>
      </c>
    </row>
    <row r="7" spans="1:5" x14ac:dyDescent="0.2">
      <c r="A7">
        <v>601</v>
      </c>
      <c r="B7" t="s">
        <v>214</v>
      </c>
      <c r="C7" s="162">
        <v>10922.24</v>
      </c>
      <c r="D7" s="162">
        <v>12175</v>
      </c>
      <c r="E7" s="173">
        <f>11050+3*15*25</f>
        <v>12175</v>
      </c>
    </row>
    <row r="8" spans="1:5" x14ac:dyDescent="0.2">
      <c r="A8">
        <v>602</v>
      </c>
      <c r="B8" t="s">
        <v>42</v>
      </c>
      <c r="C8" s="162">
        <v>1864.4399999999998</v>
      </c>
      <c r="D8" s="162">
        <v>2500</v>
      </c>
      <c r="E8" s="173">
        <v>2500</v>
      </c>
    </row>
    <row r="9" spans="1:5" x14ac:dyDescent="0.2">
      <c r="A9">
        <v>60150</v>
      </c>
      <c r="B9" t="s">
        <v>43</v>
      </c>
      <c r="C9" s="162">
        <v>650</v>
      </c>
      <c r="D9" s="162">
        <v>1000</v>
      </c>
      <c r="E9" s="173">
        <v>1000</v>
      </c>
    </row>
    <row r="10" spans="1:5" x14ac:dyDescent="0.2">
      <c r="A10">
        <v>603</v>
      </c>
      <c r="B10" t="s">
        <v>215</v>
      </c>
      <c r="C10" s="162">
        <v>11298.12</v>
      </c>
      <c r="D10" s="162">
        <v>13084.999999999998</v>
      </c>
      <c r="E10" s="173">
        <f>13085*1.025+15*25</f>
        <v>13787.124999999998</v>
      </c>
    </row>
    <row r="11" spans="1:5" x14ac:dyDescent="0.2">
      <c r="A11">
        <v>604</v>
      </c>
      <c r="B11" t="s">
        <v>42</v>
      </c>
      <c r="C11" s="162">
        <v>3244.4266666666667</v>
      </c>
      <c r="D11" s="162">
        <v>2000</v>
      </c>
      <c r="E11" s="173">
        <v>2500</v>
      </c>
    </row>
    <row r="12" spans="1:5" x14ac:dyDescent="0.2">
      <c r="A12">
        <v>605</v>
      </c>
      <c r="B12" t="s">
        <v>216</v>
      </c>
      <c r="C12" s="162">
        <v>7473.333333333333</v>
      </c>
      <c r="D12" s="162">
        <v>8370</v>
      </c>
      <c r="E12" s="173">
        <f>8370*1.025+15*25</f>
        <v>8954.25</v>
      </c>
    </row>
    <row r="13" spans="1:5" x14ac:dyDescent="0.2">
      <c r="A13">
        <v>606</v>
      </c>
      <c r="B13" t="s">
        <v>42</v>
      </c>
      <c r="C13" s="162">
        <v>1217.3066666666666</v>
      </c>
      <c r="D13" s="162">
        <v>1300</v>
      </c>
      <c r="E13" s="173">
        <v>1500</v>
      </c>
    </row>
    <row r="14" spans="1:5" x14ac:dyDescent="0.2">
      <c r="A14">
        <v>607</v>
      </c>
      <c r="B14" t="s">
        <v>44</v>
      </c>
      <c r="C14" s="162">
        <v>8742.1866666666665</v>
      </c>
      <c r="D14" s="162">
        <v>10500</v>
      </c>
      <c r="E14" s="173">
        <v>11000</v>
      </c>
    </row>
    <row r="15" spans="1:5" x14ac:dyDescent="0.2">
      <c r="A15">
        <v>608</v>
      </c>
      <c r="B15" t="s">
        <v>45</v>
      </c>
      <c r="C15" s="162">
        <v>0</v>
      </c>
      <c r="D15" s="162">
        <v>0</v>
      </c>
      <c r="E15" s="173">
        <v>0</v>
      </c>
    </row>
    <row r="16" spans="1:5" x14ac:dyDescent="0.2">
      <c r="A16">
        <v>610</v>
      </c>
      <c r="B16" t="s">
        <v>46</v>
      </c>
      <c r="C16" s="162">
        <v>261.33333333333331</v>
      </c>
      <c r="D16" s="162">
        <v>1000</v>
      </c>
      <c r="E16" s="173">
        <v>1500</v>
      </c>
    </row>
    <row r="17" spans="1:5" x14ac:dyDescent="0.2">
      <c r="A17">
        <v>611</v>
      </c>
      <c r="B17" t="s">
        <v>47</v>
      </c>
      <c r="C17" s="162">
        <v>3640</v>
      </c>
      <c r="D17" s="162">
        <v>3000</v>
      </c>
      <c r="E17" s="173">
        <v>3000</v>
      </c>
    </row>
    <row r="18" spans="1:5" x14ac:dyDescent="0.2">
      <c r="A18">
        <v>612</v>
      </c>
      <c r="B18" t="s">
        <v>48</v>
      </c>
      <c r="C18" s="162">
        <v>7083.07</v>
      </c>
      <c r="D18" s="162">
        <v>3000</v>
      </c>
      <c r="E18" s="173">
        <v>10000</v>
      </c>
    </row>
    <row r="19" spans="1:5" x14ac:dyDescent="0.2">
      <c r="B19" s="181" t="s">
        <v>49</v>
      </c>
      <c r="C19" s="162">
        <v>56396.456666666672</v>
      </c>
      <c r="D19" s="162">
        <v>57930</v>
      </c>
      <c r="E19" s="173">
        <f t="shared" ref="E19" si="0">SUM(E7:E18)</f>
        <v>67916.375</v>
      </c>
    </row>
    <row r="20" spans="1:5" x14ac:dyDescent="0.2">
      <c r="C20" s="162"/>
      <c r="D20" s="162"/>
      <c r="E20" s="173"/>
    </row>
    <row r="21" spans="1:5" x14ac:dyDescent="0.2">
      <c r="B21" t="s">
        <v>50</v>
      </c>
      <c r="C21" s="162"/>
      <c r="D21" s="162"/>
      <c r="E21" s="173"/>
    </row>
    <row r="22" spans="1:5" x14ac:dyDescent="0.2">
      <c r="A22">
        <v>621</v>
      </c>
      <c r="B22" t="s">
        <v>123</v>
      </c>
      <c r="C22" s="162">
        <v>79937.25</v>
      </c>
      <c r="D22" s="162">
        <v>79937.25</v>
      </c>
      <c r="E22" s="173">
        <f>0.795*100700</f>
        <v>80056.5</v>
      </c>
    </row>
    <row r="23" spans="1:5" x14ac:dyDescent="0.2">
      <c r="B23" t="s">
        <v>217</v>
      </c>
      <c r="C23" s="162">
        <v>4500</v>
      </c>
      <c r="D23" s="162">
        <v>4500</v>
      </c>
      <c r="E23" s="173">
        <v>4500</v>
      </c>
    </row>
    <row r="24" spans="1:5" x14ac:dyDescent="0.2">
      <c r="A24">
        <v>620</v>
      </c>
      <c r="B24" t="s">
        <v>120</v>
      </c>
      <c r="C24" s="162">
        <v>59034.720000000001</v>
      </c>
      <c r="D24" s="162">
        <v>59500</v>
      </c>
      <c r="E24" s="173">
        <v>55200</v>
      </c>
    </row>
    <row r="25" spans="1:5" x14ac:dyDescent="0.2">
      <c r="B25" t="s">
        <v>52</v>
      </c>
      <c r="C25" s="162">
        <v>143471.97</v>
      </c>
      <c r="D25" s="162">
        <v>143937.25</v>
      </c>
      <c r="E25" s="187">
        <f t="shared" ref="E25" si="1">SUM(E22:E24)</f>
        <v>139756.5</v>
      </c>
    </row>
    <row r="26" spans="1:5" x14ac:dyDescent="0.2">
      <c r="C26" s="162"/>
      <c r="D26" s="162"/>
      <c r="E26" s="173"/>
    </row>
    <row r="27" spans="1:5" x14ac:dyDescent="0.2">
      <c r="B27" t="s">
        <v>53</v>
      </c>
      <c r="C27" s="162"/>
      <c r="D27" s="162"/>
      <c r="E27" s="173"/>
    </row>
    <row r="28" spans="1:5" x14ac:dyDescent="0.2">
      <c r="A28">
        <v>630</v>
      </c>
      <c r="B28" t="s">
        <v>54</v>
      </c>
      <c r="C28" s="162">
        <v>5719.86</v>
      </c>
      <c r="D28" s="162">
        <v>5700</v>
      </c>
      <c r="E28" s="173">
        <v>5700</v>
      </c>
    </row>
    <row r="29" spans="1:5" x14ac:dyDescent="0.2">
      <c r="B29" t="s">
        <v>55</v>
      </c>
      <c r="C29" s="162"/>
      <c r="D29" s="162"/>
      <c r="E29" s="173"/>
    </row>
    <row r="30" spans="1:5" x14ac:dyDescent="0.2">
      <c r="B30" t="s">
        <v>56</v>
      </c>
      <c r="C30" s="162">
        <v>5719.86</v>
      </c>
      <c r="D30" s="162">
        <v>5700</v>
      </c>
      <c r="E30" s="173">
        <f t="shared" ref="E30" si="2">SUM(E28:E29)</f>
        <v>5700</v>
      </c>
    </row>
    <row r="31" spans="1:5" x14ac:dyDescent="0.2">
      <c r="C31" s="162"/>
      <c r="D31" s="162"/>
      <c r="E31" s="173"/>
    </row>
    <row r="32" spans="1:5" x14ac:dyDescent="0.2">
      <c r="B32" t="s">
        <v>57</v>
      </c>
      <c r="C32" s="162"/>
      <c r="D32" s="162"/>
      <c r="E32" s="173"/>
    </row>
    <row r="33" spans="1:5" x14ac:dyDescent="0.2">
      <c r="A33">
        <v>640</v>
      </c>
      <c r="B33" t="s">
        <v>58</v>
      </c>
      <c r="C33" s="162">
        <v>85629</v>
      </c>
      <c r="D33" s="162">
        <v>85629</v>
      </c>
      <c r="E33" s="173">
        <v>87641</v>
      </c>
    </row>
    <row r="34" spans="1:5" x14ac:dyDescent="0.2">
      <c r="A34">
        <v>642</v>
      </c>
      <c r="B34" t="s">
        <v>59</v>
      </c>
      <c r="C34" s="162">
        <v>1002.6</v>
      </c>
      <c r="D34" s="162">
        <v>500</v>
      </c>
      <c r="E34" s="173">
        <v>500</v>
      </c>
    </row>
    <row r="35" spans="1:5" x14ac:dyDescent="0.2">
      <c r="A35">
        <v>64205</v>
      </c>
      <c r="B35" t="s">
        <v>60</v>
      </c>
      <c r="C35" s="162">
        <v>41853.120000000003</v>
      </c>
      <c r="D35" s="162">
        <v>41853.120000000003</v>
      </c>
      <c r="E35" s="173">
        <f>12*(1822.82+1750.22)</f>
        <v>42876.479999999996</v>
      </c>
    </row>
    <row r="36" spans="1:5" x14ac:dyDescent="0.2">
      <c r="A36">
        <v>614</v>
      </c>
      <c r="B36" t="s">
        <v>61</v>
      </c>
      <c r="C36" s="162">
        <v>5822.7720000000008</v>
      </c>
      <c r="D36" s="162">
        <v>5822.7720000000008</v>
      </c>
      <c r="E36" s="187">
        <f>0.066*E33</f>
        <v>5784.3060000000005</v>
      </c>
    </row>
    <row r="37" spans="1:5" x14ac:dyDescent="0.2">
      <c r="A37">
        <v>643</v>
      </c>
      <c r="B37" t="s">
        <v>13</v>
      </c>
      <c r="C37" s="162">
        <v>4010</v>
      </c>
      <c r="D37" s="162">
        <v>0</v>
      </c>
      <c r="E37" s="173">
        <v>4000</v>
      </c>
    </row>
    <row r="38" spans="1:5" x14ac:dyDescent="0.2">
      <c r="A38">
        <v>644</v>
      </c>
      <c r="B38" t="s">
        <v>62</v>
      </c>
      <c r="C38" s="162">
        <v>103909.59</v>
      </c>
      <c r="D38" s="162">
        <v>105719</v>
      </c>
      <c r="E38" s="173">
        <f>105719+28544+7500</f>
        <v>141763</v>
      </c>
    </row>
    <row r="39" spans="1:5" x14ac:dyDescent="0.2">
      <c r="A39">
        <v>645</v>
      </c>
      <c r="B39" t="s">
        <v>63</v>
      </c>
      <c r="C39" s="162">
        <v>7457.7866666666669</v>
      </c>
      <c r="D39" s="162">
        <v>5000</v>
      </c>
      <c r="E39" s="173">
        <v>5000</v>
      </c>
    </row>
    <row r="40" spans="1:5" x14ac:dyDescent="0.2">
      <c r="A40">
        <v>646</v>
      </c>
      <c r="B40" t="s">
        <v>64</v>
      </c>
      <c r="C40" s="162">
        <v>8132.7466666666669</v>
      </c>
      <c r="D40" s="162">
        <v>15000</v>
      </c>
      <c r="E40" s="173">
        <v>15000</v>
      </c>
    </row>
    <row r="41" spans="1:5" x14ac:dyDescent="0.2">
      <c r="A41">
        <v>647</v>
      </c>
      <c r="B41" t="s">
        <v>65</v>
      </c>
      <c r="C41" s="162">
        <v>12465.72</v>
      </c>
      <c r="D41" s="162">
        <v>12000</v>
      </c>
      <c r="E41" s="173">
        <v>12000</v>
      </c>
    </row>
    <row r="42" spans="1:5" x14ac:dyDescent="0.2">
      <c r="A42">
        <v>648</v>
      </c>
      <c r="B42" t="s">
        <v>66</v>
      </c>
      <c r="C42" s="162">
        <v>0</v>
      </c>
      <c r="D42" s="162">
        <v>3000</v>
      </c>
      <c r="E42" s="173">
        <v>3000</v>
      </c>
    </row>
    <row r="43" spans="1:5" x14ac:dyDescent="0.2">
      <c r="A43">
        <v>649</v>
      </c>
      <c r="B43" t="s">
        <v>218</v>
      </c>
      <c r="C43" s="162">
        <v>12799.96</v>
      </c>
      <c r="D43" s="162">
        <v>16000</v>
      </c>
      <c r="E43" s="173">
        <v>16000</v>
      </c>
    </row>
    <row r="44" spans="1:5" x14ac:dyDescent="0.2">
      <c r="A44">
        <v>650</v>
      </c>
      <c r="B44" t="s">
        <v>67</v>
      </c>
      <c r="C44" s="162">
        <v>2123.84</v>
      </c>
      <c r="D44" s="162">
        <v>3500</v>
      </c>
      <c r="E44" s="173">
        <v>3500</v>
      </c>
    </row>
    <row r="45" spans="1:5" x14ac:dyDescent="0.2">
      <c r="A45">
        <v>652</v>
      </c>
      <c r="B45" t="s">
        <v>68</v>
      </c>
      <c r="C45" s="162">
        <v>10770.346666666666</v>
      </c>
      <c r="D45" s="162">
        <v>13000</v>
      </c>
      <c r="E45" s="173">
        <v>13000</v>
      </c>
    </row>
    <row r="46" spans="1:5" x14ac:dyDescent="0.2">
      <c r="A46">
        <v>655</v>
      </c>
      <c r="B46" t="s">
        <v>69</v>
      </c>
      <c r="C46" s="162">
        <v>178095.64</v>
      </c>
      <c r="D46" s="162">
        <v>176375</v>
      </c>
      <c r="E46" s="173">
        <v>10000</v>
      </c>
    </row>
    <row r="47" spans="1:5" x14ac:dyDescent="0.2">
      <c r="B47" t="s">
        <v>70</v>
      </c>
      <c r="C47" s="162">
        <v>474073.12200000009</v>
      </c>
      <c r="D47" s="162">
        <v>483398.89199999999</v>
      </c>
      <c r="E47" s="187">
        <f t="shared" ref="E47" si="3">SUM(E33:E46)</f>
        <v>360064.78599999996</v>
      </c>
    </row>
    <row r="48" spans="1:5" x14ac:dyDescent="0.2">
      <c r="C48" s="162"/>
      <c r="D48" s="162"/>
      <c r="E48" s="187"/>
    </row>
    <row r="49" spans="1:5" x14ac:dyDescent="0.2">
      <c r="B49" t="s">
        <v>71</v>
      </c>
      <c r="C49" s="162"/>
      <c r="D49" s="162"/>
      <c r="E49" s="173"/>
    </row>
    <row r="50" spans="1:5" x14ac:dyDescent="0.2">
      <c r="A50">
        <v>660</v>
      </c>
      <c r="B50" t="s">
        <v>72</v>
      </c>
      <c r="C50" s="162">
        <v>3046.8599999999997</v>
      </c>
      <c r="D50" s="162">
        <v>2500</v>
      </c>
      <c r="E50" s="173">
        <v>2500</v>
      </c>
    </row>
    <row r="51" spans="1:5" x14ac:dyDescent="0.2">
      <c r="A51">
        <v>661</v>
      </c>
      <c r="B51" t="s">
        <v>73</v>
      </c>
      <c r="C51" s="162">
        <v>0</v>
      </c>
      <c r="D51" s="162">
        <v>1000</v>
      </c>
      <c r="E51" s="173">
        <v>1000</v>
      </c>
    </row>
    <row r="52" spans="1:5" x14ac:dyDescent="0.2">
      <c r="B52" t="s">
        <v>74</v>
      </c>
      <c r="C52" s="162">
        <v>3046.8599999999997</v>
      </c>
      <c r="D52" s="162">
        <v>3500</v>
      </c>
      <c r="E52" s="173">
        <f t="shared" ref="E52" si="4">SUM(E50:E51)</f>
        <v>3500</v>
      </c>
    </row>
    <row r="53" spans="1:5" x14ac:dyDescent="0.2">
      <c r="C53" s="162"/>
      <c r="D53" s="162"/>
      <c r="E53" s="173"/>
    </row>
    <row r="54" spans="1:5" x14ac:dyDescent="0.2">
      <c r="B54" t="s">
        <v>75</v>
      </c>
      <c r="C54" s="162"/>
      <c r="D54" s="162"/>
      <c r="E54" s="173"/>
    </row>
    <row r="55" spans="1:5" x14ac:dyDescent="0.2">
      <c r="A55">
        <v>665</v>
      </c>
      <c r="B55" t="s">
        <v>34</v>
      </c>
      <c r="C55" s="162">
        <v>34629.99</v>
      </c>
      <c r="D55" s="162">
        <v>34243.199999999997</v>
      </c>
      <c r="E55" s="173">
        <f>3.48*12*805*1.02</f>
        <v>34289.135999999999</v>
      </c>
    </row>
    <row r="56" spans="1:5" x14ac:dyDescent="0.2">
      <c r="A56">
        <v>666</v>
      </c>
      <c r="B56" t="s">
        <v>76</v>
      </c>
      <c r="C56" s="162">
        <v>91906.799999999988</v>
      </c>
      <c r="D56" s="162">
        <v>92003.999999999985</v>
      </c>
      <c r="E56" s="187">
        <f>9.35*12*805*1.02</f>
        <v>92127.419999999984</v>
      </c>
    </row>
    <row r="57" spans="1:5" x14ac:dyDescent="0.2">
      <c r="B57" t="s">
        <v>219</v>
      </c>
      <c r="C57" s="162">
        <v>126536.78999999998</v>
      </c>
      <c r="D57" s="162">
        <v>126247.19999999998</v>
      </c>
      <c r="E57" s="187">
        <f>SUM(E55:E56)</f>
        <v>126416.55599999998</v>
      </c>
    </row>
    <row r="58" spans="1:5" x14ac:dyDescent="0.2">
      <c r="C58" s="162"/>
      <c r="D58" s="162"/>
      <c r="E58" s="173"/>
    </row>
    <row r="59" spans="1:5" x14ac:dyDescent="0.2">
      <c r="B59" t="s">
        <v>78</v>
      </c>
      <c r="C59" s="162"/>
      <c r="D59" s="162"/>
      <c r="E59" s="173"/>
    </row>
    <row r="60" spans="1:5" x14ac:dyDescent="0.2">
      <c r="A60">
        <v>670</v>
      </c>
      <c r="B60" t="s">
        <v>79</v>
      </c>
      <c r="C60" s="162">
        <v>7587.3066666666664</v>
      </c>
      <c r="D60" s="162">
        <v>9000</v>
      </c>
      <c r="E60" s="173">
        <v>9000</v>
      </c>
    </row>
    <row r="61" spans="1:5" x14ac:dyDescent="0.2">
      <c r="A61">
        <v>671</v>
      </c>
      <c r="B61" t="s">
        <v>80</v>
      </c>
      <c r="C61" s="162">
        <v>3635.5466666666666</v>
      </c>
      <c r="D61" s="162">
        <v>2000</v>
      </c>
      <c r="E61" s="173">
        <v>2000</v>
      </c>
    </row>
    <row r="62" spans="1:5" x14ac:dyDescent="0.2">
      <c r="A62">
        <v>672</v>
      </c>
      <c r="B62" t="s">
        <v>81</v>
      </c>
      <c r="C62" s="162">
        <v>26666.95</v>
      </c>
      <c r="D62" s="162">
        <v>10000</v>
      </c>
      <c r="E62" s="173">
        <v>10000</v>
      </c>
    </row>
    <row r="63" spans="1:5" x14ac:dyDescent="0.2">
      <c r="A63">
        <v>674</v>
      </c>
      <c r="B63" t="s">
        <v>82</v>
      </c>
      <c r="C63" s="162">
        <v>1493.8266666666666</v>
      </c>
      <c r="D63" s="162">
        <v>1200</v>
      </c>
      <c r="E63" s="173">
        <v>1200</v>
      </c>
    </row>
    <row r="64" spans="1:5" x14ac:dyDescent="0.2">
      <c r="A64">
        <v>675</v>
      </c>
      <c r="B64" t="s">
        <v>83</v>
      </c>
      <c r="C64" s="162">
        <v>0</v>
      </c>
      <c r="D64" s="162">
        <v>2000</v>
      </c>
      <c r="E64" s="173">
        <v>2000</v>
      </c>
    </row>
    <row r="65" spans="1:5" x14ac:dyDescent="0.2">
      <c r="A65">
        <v>680</v>
      </c>
      <c r="B65" t="s">
        <v>84</v>
      </c>
      <c r="C65" s="162">
        <v>7436</v>
      </c>
      <c r="D65" s="162">
        <v>10000</v>
      </c>
      <c r="E65" s="173">
        <v>10000</v>
      </c>
    </row>
    <row r="66" spans="1:5" x14ac:dyDescent="0.2">
      <c r="A66">
        <v>683</v>
      </c>
      <c r="B66" t="s">
        <v>85</v>
      </c>
      <c r="C66" s="162">
        <v>4073</v>
      </c>
      <c r="D66" s="162">
        <v>4000</v>
      </c>
      <c r="E66" s="173">
        <v>4000</v>
      </c>
    </row>
    <row r="67" spans="1:5" x14ac:dyDescent="0.2">
      <c r="A67">
        <v>690</v>
      </c>
      <c r="B67" t="s">
        <v>86</v>
      </c>
      <c r="C67" s="162">
        <v>9123.3135000000002</v>
      </c>
      <c r="D67" s="162">
        <v>9123.3135000000002</v>
      </c>
      <c r="E67" s="187">
        <f>0.0765*(E7+E10+E12+E33)</f>
        <v>9375.639187499999</v>
      </c>
    </row>
    <row r="68" spans="1:5" x14ac:dyDescent="0.2">
      <c r="B68" t="s">
        <v>87</v>
      </c>
      <c r="C68" s="162">
        <v>60015.943499999994</v>
      </c>
      <c r="D68" s="162">
        <v>47323.313500000004</v>
      </c>
      <c r="E68" s="187">
        <f t="shared" ref="E68" si="5">SUM(E60:E67)</f>
        <v>47575.639187499997</v>
      </c>
    </row>
    <row r="69" spans="1:5" x14ac:dyDescent="0.2">
      <c r="C69" s="162"/>
      <c r="D69" s="162"/>
      <c r="E69" s="173"/>
    </row>
    <row r="70" spans="1:5" x14ac:dyDescent="0.2">
      <c r="B70" t="s">
        <v>88</v>
      </c>
      <c r="C70" s="162"/>
      <c r="D70" s="162"/>
      <c r="E70" s="173"/>
    </row>
    <row r="71" spans="1:5" x14ac:dyDescent="0.2">
      <c r="A71">
        <v>625</v>
      </c>
      <c r="B71" t="s">
        <v>89</v>
      </c>
      <c r="C71" s="162">
        <v>0</v>
      </c>
      <c r="D71" s="162">
        <v>0</v>
      </c>
      <c r="E71" s="173">
        <v>0</v>
      </c>
    </row>
    <row r="72" spans="1:5" x14ac:dyDescent="0.2">
      <c r="A72">
        <v>622</v>
      </c>
      <c r="B72" t="s">
        <v>51</v>
      </c>
      <c r="C72" s="162">
        <v>0</v>
      </c>
      <c r="D72" s="162">
        <v>0</v>
      </c>
      <c r="E72" s="173">
        <v>127989</v>
      </c>
    </row>
    <row r="73" spans="1:5" x14ac:dyDescent="0.2">
      <c r="A73">
        <v>623</v>
      </c>
      <c r="B73" t="s">
        <v>220</v>
      </c>
      <c r="C73" s="162">
        <v>17246.580000000002</v>
      </c>
      <c r="D73" s="162">
        <v>17246.580000000002</v>
      </c>
      <c r="E73" s="173">
        <v>17247</v>
      </c>
    </row>
    <row r="74" spans="1:5" x14ac:dyDescent="0.2">
      <c r="A74">
        <v>624</v>
      </c>
      <c r="B74" t="s">
        <v>127</v>
      </c>
      <c r="C74" s="162">
        <v>9978.6299999999992</v>
      </c>
      <c r="D74" s="162">
        <v>9978.6299999999992</v>
      </c>
      <c r="E74" s="173">
        <v>9978.6299999999992</v>
      </c>
    </row>
    <row r="75" spans="1:5" x14ac:dyDescent="0.2">
      <c r="B75" s="18" t="s">
        <v>144</v>
      </c>
      <c r="C75" s="162">
        <v>0</v>
      </c>
      <c r="D75" s="162">
        <v>0</v>
      </c>
      <c r="E75" s="173">
        <v>19886.349999999999</v>
      </c>
    </row>
    <row r="76" spans="1:5" x14ac:dyDescent="0.2">
      <c r="B76" t="s">
        <v>90</v>
      </c>
      <c r="C76" s="162">
        <v>27225.21</v>
      </c>
      <c r="D76" s="162">
        <v>27225.21</v>
      </c>
      <c r="E76" s="173">
        <f>SUM(E71:E75)</f>
        <v>175100.98</v>
      </c>
    </row>
    <row r="77" spans="1:5" x14ac:dyDescent="0.2">
      <c r="B77" t="s">
        <v>103</v>
      </c>
      <c r="D77" s="162"/>
      <c r="E77" s="173"/>
    </row>
    <row r="78" spans="1:5" x14ac:dyDescent="0.2">
      <c r="B78" t="s">
        <v>91</v>
      </c>
      <c r="C78" s="162"/>
      <c r="D78" s="162"/>
      <c r="E78" s="173"/>
    </row>
    <row r="79" spans="1:5" x14ac:dyDescent="0.2">
      <c r="A79">
        <v>745</v>
      </c>
      <c r="B79" t="s">
        <v>92</v>
      </c>
      <c r="C79" s="162">
        <v>0</v>
      </c>
      <c r="D79" s="162">
        <v>0</v>
      </c>
      <c r="E79" s="173">
        <v>2000</v>
      </c>
    </row>
    <row r="80" spans="1:5" x14ac:dyDescent="0.2">
      <c r="A80">
        <v>746</v>
      </c>
      <c r="B80" t="s">
        <v>95</v>
      </c>
      <c r="C80" s="162">
        <v>0</v>
      </c>
      <c r="D80" s="162">
        <v>1000</v>
      </c>
      <c r="E80" s="173">
        <v>1000</v>
      </c>
    </row>
    <row r="81" spans="1:5" x14ac:dyDescent="0.2">
      <c r="B81" t="s">
        <v>131</v>
      </c>
      <c r="C81" s="162">
        <v>14328.05</v>
      </c>
      <c r="D81" s="162">
        <v>20000</v>
      </c>
      <c r="E81" s="173">
        <v>0</v>
      </c>
    </row>
    <row r="82" spans="1:5" x14ac:dyDescent="0.2">
      <c r="D82" s="162">
        <v>0</v>
      </c>
      <c r="E82" s="187">
        <v>0</v>
      </c>
    </row>
    <row r="83" spans="1:5" x14ac:dyDescent="0.2">
      <c r="B83" t="s">
        <v>93</v>
      </c>
      <c r="C83" s="162"/>
      <c r="D83" s="162">
        <v>21000</v>
      </c>
      <c r="E83" s="173">
        <f>SUM(E79:E82)</f>
        <v>3000</v>
      </c>
    </row>
    <row r="84" spans="1:5" x14ac:dyDescent="0.2">
      <c r="C84" s="162"/>
      <c r="D84" s="162"/>
      <c r="E84" s="173"/>
    </row>
    <row r="85" spans="1:5" x14ac:dyDescent="0.2">
      <c r="B85" t="s">
        <v>151</v>
      </c>
      <c r="C85" s="162"/>
      <c r="D85" s="162"/>
      <c r="E85" s="173"/>
    </row>
    <row r="86" spans="1:5" x14ac:dyDescent="0.2">
      <c r="A86" s="17">
        <v>720</v>
      </c>
      <c r="B86" s="1" t="s">
        <v>152</v>
      </c>
      <c r="C86" s="162"/>
      <c r="D86" s="162"/>
      <c r="E86" s="173">
        <f>12*2090+12178</f>
        <v>37258</v>
      </c>
    </row>
    <row r="87" spans="1:5" x14ac:dyDescent="0.2">
      <c r="A87">
        <v>754</v>
      </c>
      <c r="B87" t="s">
        <v>124</v>
      </c>
      <c r="C87" s="162"/>
      <c r="D87" s="162">
        <v>0</v>
      </c>
      <c r="E87" s="173">
        <v>0</v>
      </c>
    </row>
    <row r="88" spans="1:5" x14ac:dyDescent="0.2">
      <c r="A88">
        <v>775</v>
      </c>
      <c r="B88" t="s">
        <v>106</v>
      </c>
      <c r="C88" s="162">
        <v>300</v>
      </c>
      <c r="D88" s="162">
        <v>0</v>
      </c>
      <c r="E88" s="173">
        <v>0</v>
      </c>
    </row>
    <row r="89" spans="1:5" x14ac:dyDescent="0.2">
      <c r="A89">
        <v>890</v>
      </c>
      <c r="B89" t="s">
        <v>55</v>
      </c>
      <c r="C89" s="162">
        <v>340</v>
      </c>
      <c r="D89" s="162">
        <v>0</v>
      </c>
      <c r="E89" s="173">
        <v>0</v>
      </c>
    </row>
    <row r="90" spans="1:5" x14ac:dyDescent="0.2">
      <c r="B90" t="s">
        <v>107</v>
      </c>
      <c r="C90" s="162">
        <v>640</v>
      </c>
      <c r="D90" s="162">
        <v>0</v>
      </c>
      <c r="E90" s="173">
        <v>37258</v>
      </c>
    </row>
    <row r="91" spans="1:5" x14ac:dyDescent="0.2">
      <c r="C91" s="162"/>
      <c r="D91" s="162"/>
      <c r="E91" s="173"/>
    </row>
    <row r="92" spans="1:5" x14ac:dyDescent="0.2">
      <c r="B92" t="s">
        <v>94</v>
      </c>
      <c r="C92" s="162">
        <v>911455</v>
      </c>
      <c r="D92" s="162">
        <v>916261.86549999984</v>
      </c>
      <c r="E92" s="173">
        <f>SUM(E7:E90)/2</f>
        <v>966288.83618750004</v>
      </c>
    </row>
    <row r="93" spans="1:5" x14ac:dyDescent="0.2">
      <c r="C93" t="s">
        <v>103</v>
      </c>
    </row>
    <row r="95" spans="1:5" x14ac:dyDescent="0.2">
      <c r="E95" s="132" t="s">
        <v>103</v>
      </c>
    </row>
    <row r="97" spans="3:3" x14ac:dyDescent="0.2">
      <c r="C97" t="s">
        <v>103</v>
      </c>
    </row>
  </sheetData>
  <printOptions gridLines="1"/>
  <pageMargins left="0.7" right="0.7" top="0.75" bottom="0.75" header="0.3" footer="0.3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Revenues</vt:lpstr>
      <vt:lpstr>Expenditures</vt:lpstr>
      <vt:lpstr>Budget Summary</vt:lpstr>
      <vt:lpstr>Projects &amp; Equipment</vt:lpstr>
      <vt:lpstr>Revenues Public Version</vt:lpstr>
      <vt:lpstr>Expenditures Public Version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Mary Ball</dc:creator>
  <cp:lastModifiedBy>Owner</cp:lastModifiedBy>
  <cp:lastPrinted>2017-11-07T14:43:15Z</cp:lastPrinted>
  <dcterms:created xsi:type="dcterms:W3CDTF">2009-10-29T11:53:57Z</dcterms:created>
  <dcterms:modified xsi:type="dcterms:W3CDTF">2017-11-16T00:15:14Z</dcterms:modified>
</cp:coreProperties>
</file>